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7350" windowWidth="7215" windowHeight="2745" activeTab="2"/>
  </bookViews>
  <sheets>
    <sheet name="Dashboard" sheetId="2" r:id="rId1"/>
    <sheet name="EVENT0" sheetId="5" r:id="rId2"/>
    <sheet name="CS Response Time" sheetId="1" r:id="rId3"/>
    <sheet name="Calculations" sheetId="4" r:id="rId4"/>
    <sheet name="PQT Response Time" sheetId="6" r:id="rId5"/>
  </sheets>
  <calcPr calcId="145621"/>
</workbook>
</file>

<file path=xl/calcChain.xml><?xml version="1.0" encoding="utf-8"?>
<calcChain xmlns="http://schemas.openxmlformats.org/spreadsheetml/2006/main">
  <c r="B24" i="1" l="1"/>
  <c r="B23" i="1"/>
  <c r="B8" i="5" l="1"/>
  <c r="A22" i="1" l="1"/>
  <c r="B22" i="1"/>
  <c r="B9" i="6" l="1"/>
  <c r="B6" i="6"/>
  <c r="A22" i="6" l="1"/>
  <c r="B12" i="6"/>
  <c r="B13" i="6"/>
  <c r="B6" i="2"/>
  <c r="B10" i="6" l="1"/>
  <c r="B11" i="6" s="1"/>
  <c r="B7" i="6"/>
  <c r="B5" i="6"/>
  <c r="B4" i="6"/>
  <c r="B3" i="6"/>
  <c r="B2" i="6"/>
  <c r="B19" i="6" l="1"/>
  <c r="B17" i="6"/>
  <c r="B15" i="6"/>
  <c r="B8" i="6"/>
  <c r="B16" i="6"/>
  <c r="B18" i="6"/>
  <c r="B20" i="6"/>
  <c r="B8" i="2"/>
  <c r="B22" i="6" l="1"/>
  <c r="B21" i="6"/>
  <c r="B23" i="6"/>
  <c r="B12" i="1"/>
  <c r="B11" i="1"/>
  <c r="B10" i="1"/>
  <c r="B9" i="1"/>
  <c r="B7" i="1"/>
  <c r="B6" i="1"/>
  <c r="B5" i="1"/>
  <c r="B4" i="1"/>
  <c r="B3" i="1"/>
  <c r="B2" i="5"/>
  <c r="D3" i="4"/>
  <c r="D2" i="4"/>
  <c r="B4" i="5"/>
  <c r="F6" i="5" s="1"/>
  <c r="B3" i="5"/>
  <c r="E6" i="5"/>
  <c r="B2" i="1"/>
  <c r="B24" i="6" l="1"/>
  <c r="E3" i="5"/>
  <c r="E4" i="5"/>
  <c r="F3" i="5"/>
  <c r="F4" i="5"/>
  <c r="F5" i="5"/>
  <c r="E5" i="5"/>
  <c r="B8" i="1" l="1"/>
  <c r="B15" i="1" l="1"/>
  <c r="B19" i="1"/>
  <c r="B20" i="1"/>
  <c r="B21" i="1"/>
  <c r="B18" i="1"/>
  <c r="B17" i="1"/>
  <c r="B16" i="1"/>
  <c r="B25" i="1" l="1"/>
  <c r="B9" i="5" l="1"/>
  <c r="B1" i="4"/>
  <c r="D1" i="4" s="1"/>
  <c r="B26" i="1"/>
  <c r="B7" i="5" l="1"/>
  <c r="B10" i="5" s="1"/>
  <c r="B4" i="4" s="1"/>
  <c r="B19" i="2" l="1"/>
  <c r="B18" i="2"/>
  <c r="D4" i="4"/>
  <c r="D5" i="4" s="1"/>
  <c r="B17" i="2" s="1"/>
</calcChain>
</file>

<file path=xl/sharedStrings.xml><?xml version="1.0" encoding="utf-8"?>
<sst xmlns="http://schemas.openxmlformats.org/spreadsheetml/2006/main" count="93" uniqueCount="70">
  <si>
    <t>DCFILT_CFG.DCFILT_BW</t>
  </si>
  <si>
    <t>DCFILT_CFG.DCFILT_FREEZE_COEFF</t>
  </si>
  <si>
    <t>MDMCFG1.CARRIER_SENSE_GATE</t>
  </si>
  <si>
    <t>CHAN_BW.CHFILT_BYPASS</t>
  </si>
  <si>
    <t>AGC_CFG1.AGC_WIN_SIZE</t>
  </si>
  <si>
    <t>AGC_CFG1.SETTLE_WAIT</t>
  </si>
  <si>
    <t>AGC_CFG0.RSSI_VALID_CNT</t>
  </si>
  <si>
    <t>CHAN_BW.BB_CIC_DECFACT</t>
  </si>
  <si>
    <t>CHAN_BW.ADC_CIC_DECFACT</t>
  </si>
  <si>
    <t>D0 [us]</t>
  </si>
  <si>
    <t>D1 [us]</t>
  </si>
  <si>
    <t>D2 [us]</t>
  </si>
  <si>
    <t>D3 [us]</t>
  </si>
  <si>
    <t>D4 [us]</t>
  </si>
  <si>
    <t>D5 [us]</t>
  </si>
  <si>
    <t>D6 [us]</t>
  </si>
  <si>
    <t>Settings</t>
  </si>
  <si>
    <t>Results</t>
  </si>
  <si>
    <t>Decimation factor</t>
  </si>
  <si>
    <t>T1</t>
  </si>
  <si>
    <t>T2</t>
  </si>
  <si>
    <t># of AGC_UPDATE pulses</t>
  </si>
  <si>
    <t>Max CS Response Time</t>
  </si>
  <si>
    <t>DCFILT_CFG</t>
  </si>
  <si>
    <t>MDMCFG1</t>
  </si>
  <si>
    <t>CHAN_BW</t>
  </si>
  <si>
    <t>AGC_CFG1</t>
  </si>
  <si>
    <t>AGC_CFG0</t>
  </si>
  <si>
    <t>WOR_RES</t>
  </si>
  <si>
    <t>EVENT0 (hex)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</si>
  <si>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Event0</t>
    </r>
  </si>
  <si>
    <t>Number of Preamble Bytes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</si>
  <si>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RCOSC</t>
    </r>
    <r>
      <rPr>
        <b/>
        <sz val="11"/>
        <color theme="1"/>
        <rFont val="Calibri"/>
        <family val="2"/>
        <scheme val="minor"/>
      </rPr>
      <t xml:space="preserve"> [kHz]</t>
    </r>
  </si>
  <si>
    <t>Resolution [s]</t>
  </si>
  <si>
    <r>
      <t>Max t</t>
    </r>
    <r>
      <rPr>
        <b/>
        <vertAlign val="subscript"/>
        <sz val="11"/>
        <color theme="1"/>
        <rFont val="Calibri"/>
        <family val="2"/>
        <scheme val="minor"/>
      </rPr>
      <t>Event0</t>
    </r>
    <r>
      <rPr>
        <b/>
        <sz val="11"/>
        <color theme="1"/>
        <rFont val="Calibri"/>
        <family val="2"/>
        <scheme val="minor"/>
      </rPr>
      <t xml:space="preserve"> [s]</t>
    </r>
  </si>
  <si>
    <t>WOR RES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</si>
  <si>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Event0</t>
    </r>
    <r>
      <rPr>
        <b/>
        <sz val="11"/>
        <color theme="1"/>
        <rFont val="Calibri"/>
        <family val="2"/>
        <scheme val="minor"/>
      </rPr>
      <t xml:space="preserve"> [s]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</si>
  <si>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Event0</t>
    </r>
    <r>
      <rPr>
        <b/>
        <sz val="11"/>
        <color theme="1"/>
        <rFont val="Calibri"/>
        <family val="2"/>
        <scheme val="minor"/>
      </rPr>
      <t xml:space="preserve"> [ms]</t>
    </r>
  </si>
  <si>
    <r>
      <t>t</t>
    </r>
    <r>
      <rPr>
        <vertAlign val="subscript"/>
        <sz val="11"/>
        <color theme="1"/>
        <rFont val="Calibri"/>
        <family val="2"/>
        <scheme val="minor"/>
      </rPr>
      <t>RX</t>
    </r>
  </si>
  <si>
    <r>
      <t>t</t>
    </r>
    <r>
      <rPr>
        <vertAlign val="subscript"/>
        <sz val="11"/>
        <color theme="1"/>
        <rFont val="Calibri"/>
        <family val="2"/>
        <scheme val="minor"/>
      </rPr>
      <t>XTAL</t>
    </r>
  </si>
  <si>
    <r>
      <t>t</t>
    </r>
    <r>
      <rPr>
        <vertAlign val="subscript"/>
        <sz val="11"/>
        <color theme="1"/>
        <rFont val="Calibri"/>
        <family val="2"/>
        <scheme val="minor"/>
      </rPr>
      <t>PLL</t>
    </r>
  </si>
  <si>
    <r>
      <t>t</t>
    </r>
    <r>
      <rPr>
        <vertAlign val="subscript"/>
        <sz val="11"/>
        <color theme="1"/>
        <rFont val="Calibri"/>
        <family val="2"/>
        <scheme val="minor"/>
      </rPr>
      <t>SLEEP</t>
    </r>
  </si>
  <si>
    <t>Average Current Consuption [mA]</t>
  </si>
  <si>
    <t>Average Current Consumption</t>
  </si>
  <si>
    <t>Input Parameters: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</si>
  <si>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XOSC</t>
    </r>
    <r>
      <rPr>
        <b/>
        <sz val="11"/>
        <color theme="1"/>
        <rFont val="Calibri"/>
        <family val="2"/>
        <scheme val="minor"/>
      </rPr>
      <t xml:space="preserve"> [MHz]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</si>
  <si>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>RCOCS</t>
    </r>
    <r>
      <rPr>
        <b/>
        <sz val="11"/>
        <color theme="1"/>
        <rFont val="Calibri"/>
        <family val="2"/>
        <scheme val="minor"/>
      </rPr>
      <t xml:space="preserve"> [kHz]</t>
    </r>
  </si>
  <si>
    <r>
      <t>f</t>
    </r>
    <r>
      <rPr>
        <vertAlign val="subscript"/>
        <sz val="10"/>
        <color theme="1"/>
        <rFont val="Calibri"/>
        <family val="2"/>
        <scheme val="minor"/>
      </rPr>
      <t>XOSC</t>
    </r>
    <r>
      <rPr>
        <sz val="10"/>
        <color theme="1"/>
        <rFont val="Calibri"/>
        <family val="2"/>
        <scheme val="minor"/>
      </rPr>
      <t xml:space="preserve"> [MHz]</t>
    </r>
  </si>
  <si>
    <t>CS Response Time (# of AGC_UPDATE pulses is known)</t>
  </si>
  <si>
    <t>Data Rate [sps]</t>
  </si>
  <si>
    <t>PQT Response Time</t>
  </si>
  <si>
    <t>PREAMBLE_CFG0.PQT_VALID_TIMEOUT</t>
  </si>
  <si>
    <t>2A</t>
  </si>
  <si>
    <t>PREAMBLE_CFG0</t>
  </si>
  <si>
    <t>m[PREAMBLE_CFG0.PQT_VALID_TIMEOUT]</t>
  </si>
  <si>
    <t>SYMBOL_RATE2</t>
  </si>
  <si>
    <t>SYMBOL_RATE1</t>
  </si>
  <si>
    <t>SYMBOL_RATE0</t>
  </si>
  <si>
    <t>SYMBOL_RATE2.SRATE_E</t>
  </si>
  <si>
    <t>SYMBOL_RATE2/1/0.SRATE_M</t>
  </si>
  <si>
    <t>A9</t>
  </si>
  <si>
    <t>CS</t>
  </si>
  <si>
    <t>PQT</t>
  </si>
  <si>
    <t>Termination Based on:</t>
  </si>
  <si>
    <t>46</t>
  </si>
  <si>
    <t>1C</t>
  </si>
  <si>
    <t>04</t>
  </si>
  <si>
    <t>A0</t>
  </si>
  <si>
    <t>C3</t>
  </si>
  <si>
    <r>
      <t>Tolerance f</t>
    </r>
    <r>
      <rPr>
        <b/>
        <vertAlign val="subscript"/>
        <sz val="11"/>
        <color theme="1"/>
        <rFont val="Calibri"/>
        <family val="2"/>
        <scheme val="minor"/>
      </rPr>
      <t>RCOSC</t>
    </r>
    <r>
      <rPr>
        <b/>
        <sz val="11"/>
        <color theme="1"/>
        <rFont val="Calibri"/>
        <family val="2"/>
        <scheme val="minor"/>
      </rPr>
      <t xml:space="preserve"> [%]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</si>
</sst>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&quot; ms&quot;"/>
    <numFmt numFmtId="166" formatCode="0.00&quot; ms&quot;"/>
    <numFmt numFmtId="167" formatCode="0.00&quot; µs&quot;"/>
    <numFmt numFmtId="168" formatCode="0.000&quot; mA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1" fillId="2" borderId="4" xfId="0" applyFont="1" applyFill="1" applyBorder="1"/>
    <xf numFmtId="0" fontId="2" fillId="0" borderId="4" xfId="0" applyFont="1" applyBorder="1"/>
    <xf numFmtId="0" fontId="0" fillId="0" borderId="0" xfId="0" applyBorder="1"/>
    <xf numFmtId="0" fontId="3" fillId="0" borderId="1" xfId="0" applyFont="1" applyFill="1" applyBorder="1"/>
    <xf numFmtId="0" fontId="3" fillId="0" borderId="4" xfId="0" applyFont="1" applyFill="1" applyBorder="1"/>
    <xf numFmtId="0" fontId="1" fillId="0" borderId="0" xfId="0" applyFont="1"/>
    <xf numFmtId="49" fontId="0" fillId="0" borderId="0" xfId="0" applyNumberFormat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0" fillId="0" borderId="10" xfId="0" applyBorder="1"/>
    <xf numFmtId="164" fontId="0" fillId="0" borderId="11" xfId="0" applyNumberFormat="1" applyBorder="1"/>
    <xf numFmtId="0" fontId="1" fillId="3" borderId="12" xfId="0" applyFont="1" applyFill="1" applyBorder="1"/>
    <xf numFmtId="0" fontId="0" fillId="0" borderId="13" xfId="0" applyBorder="1"/>
    <xf numFmtId="164" fontId="0" fillId="0" borderId="14" xfId="0" applyNumberFormat="1" applyBorder="1"/>
    <xf numFmtId="0" fontId="0" fillId="0" borderId="0" xfId="0" applyAlignment="1">
      <alignment horizontal="right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Alignment="1"/>
    <xf numFmtId="0" fontId="1" fillId="0" borderId="0" xfId="0" applyFont="1" applyFill="1" applyBorder="1" applyAlignment="1"/>
    <xf numFmtId="0" fontId="0" fillId="0" borderId="10" xfId="0" applyFont="1" applyBorder="1"/>
    <xf numFmtId="49" fontId="0" fillId="0" borderId="10" xfId="0" applyNumberFormat="1" applyFont="1" applyBorder="1" applyAlignment="1">
      <alignment horizontal="right"/>
    </xf>
    <xf numFmtId="0" fontId="0" fillId="0" borderId="15" xfId="0" applyFont="1" applyBorder="1" applyProtection="1"/>
    <xf numFmtId="0" fontId="0" fillId="0" borderId="16" xfId="0" applyFont="1" applyBorder="1" applyProtection="1"/>
    <xf numFmtId="0" fontId="0" fillId="0" borderId="16" xfId="0" applyFont="1" applyBorder="1" applyProtection="1">
      <protection locked="0"/>
    </xf>
    <xf numFmtId="0" fontId="0" fillId="3" borderId="16" xfId="0" applyFont="1" applyFill="1" applyBorder="1" applyAlignment="1">
      <alignment horizontal="right"/>
    </xf>
    <xf numFmtId="0" fontId="0" fillId="2" borderId="10" xfId="0" applyFont="1" applyFill="1" applyBorder="1"/>
    <xf numFmtId="167" fontId="3" fillId="3" borderId="16" xfId="0" applyNumberFormat="1" applyFont="1" applyFill="1" applyBorder="1" applyAlignment="1">
      <alignment horizontal="right"/>
    </xf>
    <xf numFmtId="167" fontId="3" fillId="3" borderId="10" xfId="0" applyNumberFormat="1" applyFont="1" applyFill="1" applyBorder="1" applyAlignment="1">
      <alignment horizontal="right"/>
    </xf>
    <xf numFmtId="167" fontId="3" fillId="3" borderId="15" xfId="0" applyNumberFormat="1" applyFont="1" applyFill="1" applyBorder="1" applyAlignment="1">
      <alignment horizontal="right"/>
    </xf>
    <xf numFmtId="167" fontId="2" fillId="3" borderId="15" xfId="0" applyNumberFormat="1" applyFont="1" applyFill="1" applyBorder="1" applyAlignment="1">
      <alignment horizontal="right"/>
    </xf>
    <xf numFmtId="167" fontId="2" fillId="3" borderId="10" xfId="0" applyNumberFormat="1" applyFont="1" applyFill="1" applyBorder="1" applyAlignment="1">
      <alignment horizontal="right"/>
    </xf>
    <xf numFmtId="0" fontId="0" fillId="0" borderId="0" xfId="0" applyFill="1" applyBorder="1"/>
    <xf numFmtId="49" fontId="0" fillId="0" borderId="16" xfId="0" applyNumberFormat="1" applyFont="1" applyBorder="1" applyAlignment="1" applyProtection="1">
      <alignment horizontal="right"/>
    </xf>
    <xf numFmtId="164" fontId="1" fillId="0" borderId="0" xfId="0" applyNumberFormat="1" applyFont="1"/>
    <xf numFmtId="0" fontId="1" fillId="0" borderId="10" xfId="0" applyFont="1" applyBorder="1"/>
    <xf numFmtId="0" fontId="3" fillId="0" borderId="1" xfId="0" applyFont="1" applyBorder="1"/>
    <xf numFmtId="0" fontId="0" fillId="5" borderId="10" xfId="0" applyFont="1" applyFill="1" applyBorder="1"/>
    <xf numFmtId="0" fontId="0" fillId="0" borderId="0" xfId="0" applyFill="1"/>
    <xf numFmtId="0" fontId="0" fillId="0" borderId="10" xfId="0" applyFont="1" applyBorder="1" applyAlignment="1">
      <alignment horizontal="right"/>
    </xf>
    <xf numFmtId="0" fontId="0" fillId="0" borderId="0" xfId="0"/>
    <xf numFmtId="0" fontId="7" fillId="0" borderId="0" xfId="0" applyFont="1" applyProtection="1">
      <protection hidden="1"/>
    </xf>
    <xf numFmtId="0" fontId="1" fillId="0" borderId="10" xfId="0" applyFont="1" applyBorder="1"/>
    <xf numFmtId="49" fontId="8" fillId="0" borderId="10" xfId="0" applyNumberFormat="1" applyFont="1" applyBorder="1" applyAlignment="1">
      <alignment horizontal="right"/>
    </xf>
    <xf numFmtId="1" fontId="0" fillId="5" borderId="10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0" fontId="0" fillId="0" borderId="15" xfId="0" applyFont="1" applyBorder="1"/>
    <xf numFmtId="0" fontId="1" fillId="0" borderId="16" xfId="0" applyFont="1" applyBorder="1" applyAlignment="1"/>
    <xf numFmtId="168" fontId="1" fillId="0" borderId="16" xfId="0" applyNumberFormat="1" applyFont="1" applyBorder="1" applyAlignment="1">
      <alignment horizontal="right"/>
    </xf>
    <xf numFmtId="0" fontId="1" fillId="0" borderId="16" xfId="0" applyFont="1" applyFill="1" applyBorder="1" applyAlignment="1"/>
    <xf numFmtId="166" fontId="1" fillId="0" borderId="16" xfId="0" applyNumberFormat="1" applyFont="1" applyBorder="1" applyAlignment="1">
      <alignment horizontal="right"/>
    </xf>
    <xf numFmtId="0" fontId="1" fillId="0" borderId="17" xfId="0" applyFont="1" applyBorder="1" applyAlignment="1"/>
    <xf numFmtId="0" fontId="1" fillId="0" borderId="17" xfId="0" applyFont="1" applyBorder="1" applyAlignment="1">
      <alignment horizontal="right"/>
    </xf>
    <xf numFmtId="2" fontId="0" fillId="0" borderId="0" xfId="0" applyNumberFormat="1"/>
    <xf numFmtId="0" fontId="10" fillId="0" borderId="0" xfId="0" applyFont="1"/>
    <xf numFmtId="0" fontId="2" fillId="2" borderId="4" xfId="0" applyFont="1" applyFill="1" applyBorder="1"/>
    <xf numFmtId="0" fontId="3" fillId="2" borderId="10" xfId="0" applyFont="1" applyFill="1" applyBorder="1"/>
    <xf numFmtId="0" fontId="3" fillId="0" borderId="15" xfId="0" applyFont="1" applyBorder="1" applyProtection="1"/>
    <xf numFmtId="0" fontId="3" fillId="0" borderId="16" xfId="0" applyFont="1" applyBorder="1" applyProtection="1"/>
    <xf numFmtId="0" fontId="3" fillId="3" borderId="16" xfId="0" applyFont="1" applyFill="1" applyBorder="1" applyAlignment="1">
      <alignment horizontal="right"/>
    </xf>
    <xf numFmtId="49" fontId="3" fillId="0" borderId="16" xfId="0" applyNumberFormat="1" applyFont="1" applyFill="1" applyBorder="1" applyAlignment="1">
      <alignment horizontal="right"/>
    </xf>
    <xf numFmtId="49" fontId="3" fillId="0" borderId="16" xfId="0" applyNumberFormat="1" applyFont="1" applyFill="1" applyBorder="1" applyAlignment="1" applyProtection="1">
      <alignment horizontal="right"/>
    </xf>
    <xf numFmtId="0" fontId="3" fillId="3" borderId="16" xfId="0" applyFont="1" applyFill="1" applyBorder="1" applyProtection="1"/>
    <xf numFmtId="0" fontId="3" fillId="0" borderId="0" xfId="0" applyFont="1"/>
    <xf numFmtId="0" fontId="3" fillId="0" borderId="16" xfId="0" applyFont="1" applyFill="1" applyBorder="1"/>
    <xf numFmtId="2" fontId="9" fillId="0" borderId="0" xfId="0" applyNumberFormat="1" applyFont="1"/>
    <xf numFmtId="0" fontId="3" fillId="6" borderId="4" xfId="0" applyFont="1" applyFill="1" applyBorder="1"/>
    <xf numFmtId="167" fontId="3" fillId="6" borderId="10" xfId="0" applyNumberFormat="1" applyFont="1" applyFill="1" applyBorder="1" applyAlignment="1">
      <alignment horizontal="right"/>
    </xf>
    <xf numFmtId="167" fontId="0" fillId="0" borderId="0" xfId="0" applyNumberFormat="1"/>
    <xf numFmtId="0" fontId="1" fillId="4" borderId="4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7"/>
  <sheetViews>
    <sheetView workbookViewId="0">
      <selection activeCell="B18" sqref="B18"/>
    </sheetView>
  </sheetViews>
  <sheetFormatPr defaultRowHeight="15" x14ac:dyDescent="0.25"/>
  <cols>
    <col min="1" max="1" width="28.28515625" bestFit="1" customWidth="1"/>
    <col min="2" max="2" width="19" customWidth="1"/>
    <col min="3" max="3" width="9.140625" customWidth="1"/>
    <col min="5" max="5" width="16.42578125" customWidth="1"/>
    <col min="7" max="7" width="17.5703125" customWidth="1"/>
  </cols>
  <sheetData>
    <row r="1" spans="1:7" x14ac:dyDescent="0.25">
      <c r="A1" s="74" t="s">
        <v>44</v>
      </c>
      <c r="B1" s="75"/>
      <c r="C1" s="46" t="s">
        <v>61</v>
      </c>
    </row>
    <row r="2" spans="1:7" x14ac:dyDescent="0.25">
      <c r="A2" s="40" t="s">
        <v>31</v>
      </c>
      <c r="B2" s="25">
        <v>3</v>
      </c>
      <c r="C2" s="46" t="s">
        <v>62</v>
      </c>
    </row>
    <row r="3" spans="1:7" x14ac:dyDescent="0.25">
      <c r="A3" s="40" t="s">
        <v>55</v>
      </c>
      <c r="B3" s="44">
        <v>43</v>
      </c>
    </row>
    <row r="4" spans="1:7" x14ac:dyDescent="0.25">
      <c r="A4" s="40" t="s">
        <v>56</v>
      </c>
      <c r="B4" s="44" t="s">
        <v>60</v>
      </c>
    </row>
    <row r="5" spans="1:7" x14ac:dyDescent="0.25">
      <c r="A5" s="40" t="s">
        <v>57</v>
      </c>
      <c r="B5" s="44" t="s">
        <v>52</v>
      </c>
    </row>
    <row r="6" spans="1:7" x14ac:dyDescent="0.25">
      <c r="A6" s="40" t="s">
        <v>49</v>
      </c>
      <c r="B6" s="49">
        <f>IF(((BIN2DEC(1*SUBSTITUTE(SUBSTITUTE(HEX2BIN(B3)+DEC2BIN(240),1,0),2,1))/16)&gt;0),((((2^20)+(((BIN2DEC(1*SUBSTITUTE(SUBSTITUTE(HEX2BIN(B3)+DEC2BIN(15),1,0),2,1)))*(2^16))+((BIN2DEC(1*SUBSTITUTE(SUBSTITUTE(HEX2BIN(B4)+DEC2BIN(255),1,0),2,1)))*(2^8))+(BIN2DEC(1*SUBSTITUTE(SUBSTITUTE(HEX2BIN(B5)+DEC2BIN(255),1,0),2,1)))))*(2^(BIN2DEC(1*SUBSTITUTE(SUBSTITUTE(HEX2BIN(B3)+DEC2BIN(240),1,0),2,1))/16)))/(2^39)*B7*1000000),(((((BIN2DEC(1*SUBSTITUTE(SUBSTITUTE(HEX2BIN(B3)+DEC2BIN(15),1,0),2,1)))*(2^16))+((BIN2DEC(1*SUBSTITUTE(SUBSTITUTE(HEX2BIN(B4)+DEC2BIN(255),1,0),2,1)))*(2^8))+(BIN2DEC(1*SUBSTITUTE(SUBSTITUTE(HEX2BIN(B5)+DEC2BIN(255),1,0),2,1))))/(2^38))*B7*1000000))</f>
        <v>1199.9998241662979</v>
      </c>
    </row>
    <row r="7" spans="1:7" ht="18" x14ac:dyDescent="0.35">
      <c r="A7" s="40" t="s">
        <v>45</v>
      </c>
      <c r="B7" s="25">
        <v>32</v>
      </c>
    </row>
    <row r="8" spans="1:7" ht="18" x14ac:dyDescent="0.35">
      <c r="A8" s="40" t="s">
        <v>46</v>
      </c>
      <c r="B8" s="42">
        <f>B7</f>
        <v>32</v>
      </c>
    </row>
    <row r="9" spans="1:7" x14ac:dyDescent="0.25">
      <c r="A9" s="40" t="s">
        <v>23</v>
      </c>
      <c r="B9" s="50" t="s">
        <v>65</v>
      </c>
    </row>
    <row r="10" spans="1:7" x14ac:dyDescent="0.25">
      <c r="A10" s="40" t="s">
        <v>24</v>
      </c>
      <c r="B10" s="50" t="s">
        <v>64</v>
      </c>
    </row>
    <row r="11" spans="1:7" x14ac:dyDescent="0.25">
      <c r="A11" s="40" t="s">
        <v>25</v>
      </c>
      <c r="B11" s="50" t="s">
        <v>66</v>
      </c>
    </row>
    <row r="12" spans="1:7" x14ac:dyDescent="0.25">
      <c r="A12" s="40" t="s">
        <v>26</v>
      </c>
      <c r="B12" s="26" t="s">
        <v>67</v>
      </c>
    </row>
    <row r="13" spans="1:7" x14ac:dyDescent="0.25">
      <c r="A13" s="40" t="s">
        <v>27</v>
      </c>
      <c r="B13" s="26" t="s">
        <v>68</v>
      </c>
      <c r="G13" s="10"/>
    </row>
    <row r="14" spans="1:7" x14ac:dyDescent="0.25">
      <c r="A14" s="40" t="s">
        <v>53</v>
      </c>
      <c r="B14" s="26" t="s">
        <v>52</v>
      </c>
      <c r="G14" s="10"/>
    </row>
    <row r="15" spans="1:7" s="45" customFormat="1" x14ac:dyDescent="0.25">
      <c r="A15" s="47" t="s">
        <v>63</v>
      </c>
      <c r="B15" s="48" t="s">
        <v>61</v>
      </c>
      <c r="E15" s="58"/>
      <c r="G15" s="10"/>
    </row>
    <row r="16" spans="1:7" x14ac:dyDescent="0.25">
      <c r="A16" s="51"/>
      <c r="B16" s="51"/>
      <c r="G16" s="10"/>
    </row>
    <row r="17" spans="1:7" x14ac:dyDescent="0.25">
      <c r="A17" s="52" t="s">
        <v>43</v>
      </c>
      <c r="B17" s="53">
        <f>IF(((Calculations!B4)&gt;0), Calculations!D5,"Error")</f>
        <v>0.90367782330827073</v>
      </c>
      <c r="G17" s="10"/>
    </row>
    <row r="18" spans="1:7" ht="18" x14ac:dyDescent="0.35">
      <c r="A18" s="54" t="s">
        <v>30</v>
      </c>
      <c r="B18" s="55">
        <f>IF(((Calculations!B4)&gt;0), (HEX2DEC(EVENT0!B10)/(B8)),"Error")</f>
        <v>16.625</v>
      </c>
      <c r="G18" s="10"/>
    </row>
    <row r="19" spans="1:7" x14ac:dyDescent="0.25">
      <c r="A19" s="56" t="s">
        <v>29</v>
      </c>
      <c r="B19" s="57" t="str">
        <f>IF(((Calculations!B4)&gt;0), EVENT0!B10,"Error")</f>
        <v>0214</v>
      </c>
      <c r="G19" s="10"/>
    </row>
    <row r="21" spans="1:7" x14ac:dyDescent="0.25">
      <c r="C21" s="23"/>
    </row>
    <row r="22" spans="1:7" x14ac:dyDescent="0.25">
      <c r="C22" s="24"/>
    </row>
    <row r="23" spans="1:7" x14ac:dyDescent="0.25">
      <c r="C23" s="23"/>
    </row>
    <row r="27" spans="1:7" x14ac:dyDescent="0.25">
      <c r="D27" s="45"/>
    </row>
  </sheetData>
  <mergeCells count="1">
    <mergeCell ref="A1:B1"/>
  </mergeCells>
  <dataValidations count="1">
    <dataValidation type="list" allowBlank="1" showInputMessage="1" showErrorMessage="1" sqref="B15">
      <formula1>$C$1:$C$2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31" sqref="B31"/>
    </sheetView>
  </sheetViews>
  <sheetFormatPr defaultRowHeight="15" x14ac:dyDescent="0.25"/>
  <cols>
    <col min="1" max="1" width="25.28515625" bestFit="1" customWidth="1"/>
    <col min="2" max="2" width="13.7109375" customWidth="1"/>
    <col min="4" max="4" width="9.7109375" bestFit="1" customWidth="1"/>
    <col min="5" max="5" width="13.42578125" bestFit="1" customWidth="1"/>
    <col min="6" max="6" width="17.140625" customWidth="1"/>
  </cols>
  <sheetData>
    <row r="1" spans="1:6" ht="15.75" thickBot="1" x14ac:dyDescent="0.3">
      <c r="A1" s="9"/>
    </row>
    <row r="2" spans="1:6" ht="18" x14ac:dyDescent="0.35">
      <c r="A2" s="9" t="s">
        <v>31</v>
      </c>
      <c r="B2">
        <f>Dashboard!B2</f>
        <v>3</v>
      </c>
      <c r="D2" s="11" t="s">
        <v>28</v>
      </c>
      <c r="E2" s="12" t="s">
        <v>33</v>
      </c>
      <c r="F2" s="13" t="s">
        <v>34</v>
      </c>
    </row>
    <row r="3" spans="1:6" x14ac:dyDescent="0.25">
      <c r="A3" s="9" t="s">
        <v>49</v>
      </c>
      <c r="B3">
        <f>Dashboard!B6</f>
        <v>1199.9998241662979</v>
      </c>
      <c r="D3" s="14">
        <v>0</v>
      </c>
      <c r="E3" s="15">
        <f>(2^(5*D3)/(B4*10^3))</f>
        <v>3.1250000000000001E-5</v>
      </c>
      <c r="F3" s="16">
        <f>(65535*2^(5*D3)/(B4*10^3))</f>
        <v>2.0479687499999999</v>
      </c>
    </row>
    <row r="4" spans="1:6" ht="18" x14ac:dyDescent="0.35">
      <c r="A4" s="9" t="s">
        <v>32</v>
      </c>
      <c r="B4">
        <f>Dashboard!B8</f>
        <v>32</v>
      </c>
      <c r="D4" s="14">
        <v>1</v>
      </c>
      <c r="E4" s="15">
        <f>(2^(5*D4)/(B4*10^3))</f>
        <v>1E-3</v>
      </c>
      <c r="F4" s="16">
        <f>(65535*2^(5*D4)/(B4*10^3))</f>
        <v>65.534999999999997</v>
      </c>
    </row>
    <row r="5" spans="1:6" ht="18" x14ac:dyDescent="0.35">
      <c r="A5" s="9" t="s">
        <v>69</v>
      </c>
      <c r="B5">
        <v>0.1</v>
      </c>
      <c r="D5" s="14">
        <v>2</v>
      </c>
      <c r="E5" s="15">
        <f>(2^(5*D5)/(B4*10^3))</f>
        <v>3.2000000000000001E-2</v>
      </c>
      <c r="F5" s="16">
        <f>(65535*2^(5*D5)/(B4*10^3))</f>
        <v>2097.12</v>
      </c>
    </row>
    <row r="6" spans="1:6" ht="15.75" thickBot="1" x14ac:dyDescent="0.3">
      <c r="A6" s="9"/>
      <c r="D6" s="17">
        <v>3</v>
      </c>
      <c r="E6" s="18">
        <f>(2^(5*D6)/(B4*10^3))</f>
        <v>1.024</v>
      </c>
      <c r="F6" s="19">
        <f>(65535*2^(5*D6)/(B4*10^3))</f>
        <v>67107.839999999997</v>
      </c>
    </row>
    <row r="7" spans="1:6" x14ac:dyDescent="0.25">
      <c r="A7" s="9" t="s">
        <v>35</v>
      </c>
      <c r="B7">
        <f>IF(B8&lt;F3,0,IF(B8&lt;F4,1,IF(B8&lt;F5,2,IF(B8&lt;F6,"ERR"))))</f>
        <v>0</v>
      </c>
    </row>
    <row r="8" spans="1:6" ht="18" x14ac:dyDescent="0.35">
      <c r="A8" s="9" t="s">
        <v>36</v>
      </c>
      <c r="B8">
        <f>IF((EXACT(Dashboard!C1,Dashboard!B15)),(((B2*8-4)/B3)),((B2*8-10)/B3)-('PQT Response Time'!B22/1000000))*(100/(100+B5))</f>
        <v>1.6650019089712063E-2</v>
      </c>
    </row>
    <row r="9" spans="1:6" ht="18" x14ac:dyDescent="0.35">
      <c r="A9" s="9" t="s">
        <v>37</v>
      </c>
      <c r="B9">
        <f>B8*1000</f>
        <v>16.650019089712064</v>
      </c>
    </row>
    <row r="10" spans="1:6" x14ac:dyDescent="0.25">
      <c r="A10" s="9" t="s">
        <v>29</v>
      </c>
      <c r="B10" s="20" t="str">
        <f>DEC2HEX(ROUNDDOWN((B8*B4*10^3)/(2^(5*B7)),0),4)</f>
        <v>0214</v>
      </c>
    </row>
    <row r="11" spans="1:6" x14ac:dyDescent="0.25">
      <c r="A11" s="9"/>
    </row>
    <row r="12" spans="1:6" x14ac:dyDescent="0.25">
      <c r="A12" s="9"/>
    </row>
    <row r="13" spans="1:6" x14ac:dyDescent="0.25">
      <c r="A13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0"/>
  <sheetViews>
    <sheetView tabSelected="1" zoomScaleNormal="100" workbookViewId="0">
      <selection activeCell="E14" sqref="E14"/>
    </sheetView>
  </sheetViews>
  <sheetFormatPr defaultRowHeight="15" x14ac:dyDescent="0.25"/>
  <cols>
    <col min="1" max="1" width="43.28515625" bestFit="1" customWidth="1"/>
    <col min="2" max="2" width="13.85546875" bestFit="1" customWidth="1"/>
    <col min="15" max="15" width="33.7109375" bestFit="1" customWidth="1"/>
    <col min="16" max="16" width="6" bestFit="1" customWidth="1"/>
  </cols>
  <sheetData>
    <row r="1" spans="1:7" x14ac:dyDescent="0.25">
      <c r="A1" s="4" t="s">
        <v>16</v>
      </c>
      <c r="B1" s="31"/>
    </row>
    <row r="2" spans="1:7" x14ac:dyDescent="0.25">
      <c r="A2" s="41" t="s">
        <v>47</v>
      </c>
      <c r="B2" s="27">
        <f>Dashboard!B7</f>
        <v>32</v>
      </c>
    </row>
    <row r="3" spans="1:7" x14ac:dyDescent="0.25">
      <c r="A3" s="2" t="s">
        <v>0</v>
      </c>
      <c r="B3" s="28">
        <f>BIN2DEC(SUBSTITUTE(SUBSTITUTE(HEX2BIN(Dashboard!B9)+DEC2BIN(7),1,0),2,1))</f>
        <v>4</v>
      </c>
      <c r="D3" s="10"/>
    </row>
    <row r="4" spans="1:7" x14ac:dyDescent="0.25">
      <c r="A4" s="2" t="s">
        <v>1</v>
      </c>
      <c r="B4" s="28">
        <f>BIN2DEC(SUBSTITUTE(SUBSTITUTE(HEX2BIN(Dashboard!B9)+DEC2BIN(64),1,0),2,1))/64</f>
        <v>0</v>
      </c>
    </row>
    <row r="5" spans="1:7" x14ac:dyDescent="0.25">
      <c r="A5" s="2" t="s">
        <v>2</v>
      </c>
      <c r="B5" s="28">
        <f>BIN2DEC(SUBSTITUTE(SUBSTITUTE(HEX2BIN(Dashboard!B10)+DEC2BIN(128),1,0),2,1))/128</f>
        <v>0</v>
      </c>
    </row>
    <row r="6" spans="1:7" x14ac:dyDescent="0.25">
      <c r="A6" s="2" t="s">
        <v>7</v>
      </c>
      <c r="B6" s="28">
        <f>BIN2DEC(SUBSTITUTE(SUBSTITUTE(HEX2BIN(Dashboard!B11)+DEC2BIN(63),1,0),2,1))</f>
        <v>4</v>
      </c>
      <c r="F6" s="6"/>
      <c r="G6" s="6"/>
    </row>
    <row r="7" spans="1:7" x14ac:dyDescent="0.25">
      <c r="A7" s="2" t="s">
        <v>8</v>
      </c>
      <c r="B7" s="28">
        <f>BIN2DEC(SUBSTITUTE(SUBSTITUTE(HEX2BIN(Dashboard!B11)+DEC2BIN(64),1,0),2,1))/64</f>
        <v>0</v>
      </c>
    </row>
    <row r="8" spans="1:7" x14ac:dyDescent="0.25">
      <c r="A8" s="2" t="s">
        <v>18</v>
      </c>
      <c r="B8" s="30">
        <f>IF(B7=0,20,IF(B7=1,32,"ERR"))</f>
        <v>20</v>
      </c>
    </row>
    <row r="9" spans="1:7" x14ac:dyDescent="0.25">
      <c r="A9" s="2" t="s">
        <v>3</v>
      </c>
      <c r="B9" s="28">
        <f>BIN2DEC(SUBSTITUTE(SUBSTITUTE(HEX2BIN(Dashboard!B11)+DEC2BIN(128),1,0),2,1))/128</f>
        <v>0</v>
      </c>
    </row>
    <row r="10" spans="1:7" x14ac:dyDescent="0.25">
      <c r="A10" s="2" t="s">
        <v>4</v>
      </c>
      <c r="B10" s="38">
        <f>BIN2DEC(SUBSTITUTE(SUBSTITUTE(HEX2BIN(Dashboard!B12)+DEC2BIN(28),1,0),2,1))/4</f>
        <v>0</v>
      </c>
      <c r="C10" s="10"/>
    </row>
    <row r="11" spans="1:7" x14ac:dyDescent="0.25">
      <c r="A11" s="2" t="s">
        <v>5</v>
      </c>
      <c r="B11" s="28">
        <f>BIN2DEC(SUBSTITUTE(SUBSTITUTE(HEX2BIN(Dashboard!B12)+DEC2BIN(3),1,0),2,1))</f>
        <v>0</v>
      </c>
    </row>
    <row r="12" spans="1:7" x14ac:dyDescent="0.25">
      <c r="A12" s="2" t="s">
        <v>6</v>
      </c>
      <c r="B12" s="38">
        <f>BIN2DEC(SUBSTITUTE(SUBSTITUTE(HEX2BIN(Dashboard!B13)+DEC2BIN(12),1,0),2,1))/4</f>
        <v>0</v>
      </c>
    </row>
    <row r="13" spans="1:7" x14ac:dyDescent="0.25">
      <c r="A13" s="2" t="s">
        <v>21</v>
      </c>
      <c r="B13" s="29">
        <v>1</v>
      </c>
    </row>
    <row r="14" spans="1:7" x14ac:dyDescent="0.25">
      <c r="A14" s="4" t="s">
        <v>17</v>
      </c>
      <c r="B14" s="31"/>
    </row>
    <row r="15" spans="1:7" x14ac:dyDescent="0.25">
      <c r="A15" s="2" t="s">
        <v>9</v>
      </c>
      <c r="B15" s="32">
        <f>(16*(20+12*B7)+74)/B2</f>
        <v>12.3125</v>
      </c>
    </row>
    <row r="16" spans="1:7" x14ac:dyDescent="0.25">
      <c r="A16" s="2" t="s">
        <v>10</v>
      </c>
      <c r="B16" s="32">
        <f>(1-B4)*(62+B5*(2^(5+(IF(B3&gt;4,4,B3)))-1))*(20+12*B7)*2/B2</f>
        <v>77.5</v>
      </c>
    </row>
    <row r="17" spans="1:2" x14ac:dyDescent="0.25">
      <c r="A17" s="2" t="s">
        <v>11</v>
      </c>
      <c r="B17" s="32">
        <f>((62+B5*(2^(5+(IF(B3&gt;4,4,B3)))-1))*(20+12*B7)*2)/B2</f>
        <v>77.5</v>
      </c>
    </row>
    <row r="18" spans="1:2" x14ac:dyDescent="0.25">
      <c r="A18" s="2" t="s">
        <v>12</v>
      </c>
      <c r="B18" s="32">
        <f>(16*(IF(B6=0,1,B6))-2)*(20+12*B7)*2/B2</f>
        <v>77.5</v>
      </c>
    </row>
    <row r="19" spans="1:2" x14ac:dyDescent="0.25">
      <c r="A19" s="2" t="s">
        <v>13</v>
      </c>
      <c r="B19" s="32">
        <f>(35-B4)*(20+12*B7)*2/B2</f>
        <v>43.75</v>
      </c>
    </row>
    <row r="20" spans="1:2" x14ac:dyDescent="0.25">
      <c r="A20" s="2" t="s">
        <v>14</v>
      </c>
      <c r="B20" s="32">
        <f>68*(IF(B6=0,1,B6))*(20+12*B7)/B2</f>
        <v>170</v>
      </c>
    </row>
    <row r="21" spans="1:2" x14ac:dyDescent="0.25">
      <c r="A21" s="3" t="s">
        <v>15</v>
      </c>
      <c r="B21" s="32">
        <f>((IF(B6=0,1,B6))-2)*(20+12*B7)*2/B2</f>
        <v>2.5</v>
      </c>
    </row>
    <row r="22" spans="1:2" x14ac:dyDescent="0.25">
      <c r="A22" s="71" t="str">
        <f>IF((AND(B9=0,( (IF(B6&gt;1,1,0))=0))),( "T0 = D0+D2+D4 "),IF((AND(B9=0,( (IF(B6&gt;1,1,0))=1))),( "T0 = D0+D1+D3+D5 "),IF((AND(B9=1,( (IF(B6&gt;1,1,0))=0))), "T0 = D0+D1",IF((AND(B9=1,( (IF(B6&gt;1,1,0))=1))),( "T0 = D0+D1+D3+D5 ")))))</f>
        <v xml:space="preserve">T0 = D0+D1+D3+D5 </v>
      </c>
      <c r="B22" s="72">
        <f>IF((AND(B9=0,( (IF(B6&gt;1,1,0))=0))),( SUM(B15,B17,B19)),IF((AND(B9=0,( (IF(B6&gt;1,1,0))=1))),( SUM(B15,B16,B18,B20)),IF((AND(B9=1,( (IF(B6&gt;1,1,0))=0))), ( SUM(B15,B16)),IF((AND(B9=1,( (IF(B6&gt;1,1,0))=1))),( SUM(B15,B16,B18,B20))))))</f>
        <v>337.3125</v>
      </c>
    </row>
    <row r="23" spans="1:2" x14ac:dyDescent="0.25">
      <c r="A23" s="7" t="s">
        <v>19</v>
      </c>
      <c r="B23" s="34">
        <f>((16*B11+48)*(MAX(B6,1)*B8)/B2)</f>
        <v>120</v>
      </c>
    </row>
    <row r="24" spans="1:2" x14ac:dyDescent="0.25">
      <c r="A24" s="8" t="s">
        <v>20</v>
      </c>
      <c r="B24" s="33">
        <f>((2^(B10+4))*((MAX(B6,1))*B8)+46)/(B2)</f>
        <v>41.4375</v>
      </c>
    </row>
    <row r="25" spans="1:2" x14ac:dyDescent="0.25">
      <c r="A25" s="1" t="s">
        <v>48</v>
      </c>
      <c r="B25" s="35">
        <f>B22+B24*((2^B12)+1)+B23*B13</f>
        <v>540.1875</v>
      </c>
    </row>
    <row r="26" spans="1:2" x14ac:dyDescent="0.25">
      <c r="A26" s="5" t="s">
        <v>22</v>
      </c>
      <c r="B26" s="36">
        <f>B22+(B23+B24)*((2^B12)+1)</f>
        <v>660.1875</v>
      </c>
    </row>
    <row r="30" spans="1:2" x14ac:dyDescent="0.25">
      <c r="B30" s="37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B4" sqref="B4"/>
    </sheetView>
  </sheetViews>
  <sheetFormatPr defaultRowHeight="15" x14ac:dyDescent="0.25"/>
  <cols>
    <col min="1" max="1" width="31.5703125" bestFit="1" customWidth="1"/>
    <col min="2" max="2" width="17.5703125" bestFit="1" customWidth="1"/>
    <col min="3" max="3" width="6" bestFit="1" customWidth="1"/>
    <col min="4" max="4" width="6.5703125" bestFit="1" customWidth="1"/>
  </cols>
  <sheetData>
    <row r="1" spans="1:4" ht="18" x14ac:dyDescent="0.35">
      <c r="A1" t="s">
        <v>38</v>
      </c>
      <c r="B1" s="21">
        <f>(IF((EXACT(Dashboard!C1,Dashboard!B15)),('CS Response Time'!B25),('PQT Response Time'!B24)))/1000</f>
        <v>0.54018750000000004</v>
      </c>
      <c r="C1">
        <v>22</v>
      </c>
      <c r="D1" s="22">
        <f>B1*C1</f>
        <v>11.884125000000001</v>
      </c>
    </row>
    <row r="2" spans="1:4" ht="18" x14ac:dyDescent="0.35">
      <c r="A2" t="s">
        <v>39</v>
      </c>
      <c r="B2" s="21">
        <v>0.4</v>
      </c>
      <c r="C2" s="43">
        <v>2</v>
      </c>
      <c r="D2" s="22">
        <f>B2*C2</f>
        <v>0.8</v>
      </c>
    </row>
    <row r="3" spans="1:4" ht="18" x14ac:dyDescent="0.35">
      <c r="A3" t="s">
        <v>40</v>
      </c>
      <c r="B3" s="21">
        <v>0.16600000000000001</v>
      </c>
      <c r="C3" s="43">
        <v>14</v>
      </c>
      <c r="D3" s="22">
        <f>B3*C3</f>
        <v>2.3240000000000003</v>
      </c>
    </row>
    <row r="4" spans="1:4" ht="18" x14ac:dyDescent="0.35">
      <c r="A4" t="s">
        <v>41</v>
      </c>
      <c r="B4" s="21">
        <f>((HEX2DEC(EVENT0!B10)*2^(5*EVENT0!B7))/(1000*EVENT0!B4)*1000)-(SUM(B1:B3))</f>
        <v>15.518812499999999</v>
      </c>
      <c r="C4">
        <v>1E-3</v>
      </c>
      <c r="D4" s="22">
        <f>B4*C4</f>
        <v>1.55188125E-2</v>
      </c>
    </row>
    <row r="5" spans="1:4" x14ac:dyDescent="0.25">
      <c r="A5" s="9" t="s">
        <v>42</v>
      </c>
      <c r="B5" s="9"/>
      <c r="C5" s="9"/>
      <c r="D5" s="39">
        <f>(SUM(D1:D4))/(((HEX2DEC(EVENT0!B10)*2^(5*EVENT0!B7))/(1000*EVENT0!B4)*1000))</f>
        <v>0.90367782330827073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="130" zoomScaleNormal="130" workbookViewId="0">
      <selection activeCell="B22" sqref="B22"/>
    </sheetView>
  </sheetViews>
  <sheetFormatPr defaultRowHeight="15" x14ac:dyDescent="0.25"/>
  <cols>
    <col min="1" max="1" width="34.28515625" bestFit="1" customWidth="1"/>
    <col min="2" max="2" width="10.7109375" bestFit="1" customWidth="1"/>
    <col min="5" max="5" width="10.5703125" bestFit="1" customWidth="1"/>
  </cols>
  <sheetData>
    <row r="1" spans="1:3" x14ac:dyDescent="0.25">
      <c r="A1" s="60" t="s">
        <v>16</v>
      </c>
      <c r="B1" s="61"/>
    </row>
    <row r="2" spans="1:3" x14ac:dyDescent="0.25">
      <c r="A2" s="41" t="s">
        <v>47</v>
      </c>
      <c r="B2" s="62">
        <f>Dashboard!B7</f>
        <v>32</v>
      </c>
      <c r="C2" s="43"/>
    </row>
    <row r="3" spans="1:3" x14ac:dyDescent="0.25">
      <c r="A3" s="2" t="s">
        <v>0</v>
      </c>
      <c r="B3" s="63">
        <f>BIN2DEC(SUBSTITUTE(SUBSTITUTE(HEX2BIN(Dashboard!B9)+DEC2BIN(7),1,0),2,1))</f>
        <v>4</v>
      </c>
      <c r="C3" s="43"/>
    </row>
    <row r="4" spans="1:3" x14ac:dyDescent="0.25">
      <c r="A4" s="2" t="s">
        <v>1</v>
      </c>
      <c r="B4" s="63">
        <f>BIN2DEC(SUBSTITUTE(SUBSTITUTE(HEX2BIN(Dashboard!B9)+DEC2BIN(64),1,0),2,1))/64</f>
        <v>0</v>
      </c>
      <c r="C4" s="43"/>
    </row>
    <row r="5" spans="1:3" x14ac:dyDescent="0.25">
      <c r="A5" s="2" t="s">
        <v>2</v>
      </c>
      <c r="B5" s="63">
        <f>BIN2DEC(SUBSTITUTE(SUBSTITUTE(HEX2BIN(Dashboard!B10)+DEC2BIN(128),1,0),2,1))/128</f>
        <v>0</v>
      </c>
      <c r="C5" s="43"/>
    </row>
    <row r="6" spans="1:3" x14ac:dyDescent="0.25">
      <c r="A6" s="2" t="s">
        <v>7</v>
      </c>
      <c r="B6" s="63">
        <f>BIN2DEC(SUBSTITUTE(SUBSTITUTE(HEX2BIN(Dashboard!B11)+DEC2BIN(63),1,0),2,1))</f>
        <v>4</v>
      </c>
      <c r="C6" s="43"/>
    </row>
    <row r="7" spans="1:3" x14ac:dyDescent="0.25">
      <c r="A7" s="2" t="s">
        <v>8</v>
      </c>
      <c r="B7" s="63">
        <f>BIN2DEC(SUBSTITUTE(SUBSTITUTE(HEX2BIN(Dashboard!B11)+DEC2BIN(64),1,0),2,1))/64</f>
        <v>0</v>
      </c>
      <c r="C7" s="43"/>
    </row>
    <row r="8" spans="1:3" x14ac:dyDescent="0.25">
      <c r="A8" s="2" t="s">
        <v>18</v>
      </c>
      <c r="B8" s="64">
        <f>IF(B7=0,20,IF(B7=1,32,"ERR"))</f>
        <v>20</v>
      </c>
      <c r="C8" s="43"/>
    </row>
    <row r="9" spans="1:3" x14ac:dyDescent="0.25">
      <c r="A9" s="2" t="s">
        <v>3</v>
      </c>
      <c r="B9" s="65">
        <f>BIN2DEC(SUBSTITUTE(SUBSTITUTE(HEX2BIN(Dashboard!B11)+DEC2BIN(128),1,0),2,1))/128</f>
        <v>0</v>
      </c>
      <c r="C9" s="43"/>
    </row>
    <row r="10" spans="1:3" x14ac:dyDescent="0.25">
      <c r="A10" s="2" t="s">
        <v>51</v>
      </c>
      <c r="B10" s="66">
        <f>BIN2DEC(SUBSTITUTE(SUBSTITUTE(HEX2BIN(Dashboard!B14)+DEC2BIN(16),1,0),2,1))/16</f>
        <v>0</v>
      </c>
    </row>
    <row r="11" spans="1:3" x14ac:dyDescent="0.25">
      <c r="A11" s="2" t="s">
        <v>54</v>
      </c>
      <c r="B11" s="67">
        <f>IF(B10,43,16)</f>
        <v>16</v>
      </c>
    </row>
    <row r="12" spans="1:3" x14ac:dyDescent="0.25">
      <c r="A12" s="68" t="s">
        <v>58</v>
      </c>
      <c r="B12" s="69">
        <f>BIN2DEC(1*SUBSTITUTE(SUBSTITUTE(HEX2BIN(Dashboard!B3)+DEC2BIN(240),1,0),2,1))/16</f>
        <v>4</v>
      </c>
    </row>
    <row r="13" spans="1:3" x14ac:dyDescent="0.25">
      <c r="A13" s="68" t="s">
        <v>59</v>
      </c>
      <c r="B13" s="69">
        <f>((BIN2DEC(1*SUBSTITUTE(SUBSTITUTE(HEX2BIN(Dashboard!B3)+DEC2BIN(15),1,0),2,1)))*(2^16))+((BIN2DEC(1*SUBSTITUTE(SUBSTITUTE(HEX2BIN(Dashboard!B4)+DEC2BIN(255),1,0),2,1)))*(2^8))+BIN2DEC(1*SUBSTITUTE(SUBSTITUTE(HEX2BIN(Dashboard!B5)+DEC2BIN(255),1,0),2,1))</f>
        <v>239914</v>
      </c>
    </row>
    <row r="14" spans="1:3" x14ac:dyDescent="0.25">
      <c r="A14" s="60" t="s">
        <v>17</v>
      </c>
      <c r="B14" s="61"/>
    </row>
    <row r="15" spans="1:3" x14ac:dyDescent="0.25">
      <c r="A15" s="2" t="s">
        <v>9</v>
      </c>
      <c r="B15" s="32">
        <f>(16*(20+12*B7)+74)/B2</f>
        <v>12.3125</v>
      </c>
    </row>
    <row r="16" spans="1:3" x14ac:dyDescent="0.25">
      <c r="A16" s="2" t="s">
        <v>10</v>
      </c>
      <c r="B16" s="32">
        <f>(1-B4)*(62+B5*(2^(5+(IF(B3&gt;4,4,B3)))-1))*(20+12*B7)*2/B2</f>
        <v>77.5</v>
      </c>
    </row>
    <row r="17" spans="1:6" x14ac:dyDescent="0.25">
      <c r="A17" s="2" t="s">
        <v>11</v>
      </c>
      <c r="B17" s="32">
        <f>((62+B5*(2^(5+(IF(B3&gt;4,4,B3)))-1))*(20+12*B7)*2)/B2</f>
        <v>77.5</v>
      </c>
    </row>
    <row r="18" spans="1:6" x14ac:dyDescent="0.25">
      <c r="A18" s="2" t="s">
        <v>12</v>
      </c>
      <c r="B18" s="32">
        <f>(16*(IF(B6=0,1,B6))-2)*(20+12*B7)*2/B2</f>
        <v>77.5</v>
      </c>
    </row>
    <row r="19" spans="1:6" x14ac:dyDescent="0.25">
      <c r="A19" s="2" t="s">
        <v>13</v>
      </c>
      <c r="B19" s="32">
        <f>(35-B4)*(20+12*B7)*2/B2</f>
        <v>43.75</v>
      </c>
    </row>
    <row r="20" spans="1:6" x14ac:dyDescent="0.25">
      <c r="A20" s="2" t="s">
        <v>14</v>
      </c>
      <c r="B20" s="32">
        <f>68*(IF(B6=0,1,B6))*(20+12*B7)/B2</f>
        <v>170</v>
      </c>
    </row>
    <row r="21" spans="1:6" x14ac:dyDescent="0.25">
      <c r="A21" s="3" t="s">
        <v>15</v>
      </c>
      <c r="B21" s="32">
        <f>((IF(B6=0,1,B6))-2)*(B8)*2/B2</f>
        <v>2.5</v>
      </c>
    </row>
    <row r="22" spans="1:6" x14ac:dyDescent="0.25">
      <c r="A22" s="71" t="str">
        <f>IF((AND(B9=0,( (IF(B6&gt;1,1,0))=0))),( "T0 = D0+D2+D4 "),IF((AND(B9=0,( (IF(B6&gt;1,1,0))=1))),( "T0 = D0+D1+D3+D5 "),IF((AND(B9=1,( (IF(B6&gt;1,1,0))=0))), "T0 = D0+D1",IF((AND(B9=1,( (IF(B6&gt;1,1,0))=1))),( "T0 = D0+D1+D3+D5 ")))))</f>
        <v xml:space="preserve">T0 = D0+D1+D3+D5 </v>
      </c>
      <c r="B22" s="72">
        <f>IF((AND(B9=0,( (IF(B6&gt;1,1,0))=0))),( SUM(B15,B17,B19)),IF((AND(B9=0,( (IF(B6&gt;1,1,0))=1))),( SUM(B15,B16,B18,B20)),IF((AND(B9=1,( (IF(B6&gt;1,1,0))=0))), ( SUM(B15,B16)),IF((AND(B9=1,( (IF(B6&gt;1,1,0))=1))),( SUM(B15,B16,B18,B20))))))</f>
        <v>337.3125</v>
      </c>
      <c r="E22" s="70"/>
      <c r="F22" s="59"/>
    </row>
    <row r="23" spans="1:6" x14ac:dyDescent="0.25">
      <c r="A23" s="7" t="s">
        <v>19</v>
      </c>
      <c r="B23" s="34">
        <f>IF(B12,(40/(B2*1000000))+(2*B8*B6*((FLOOR((((2^38)*B11)/(B6*B8*(2^B12)*(B13+(2^20)))),1))+1)*(1/(B2))),(40/(B2*1000000))+(2*B8*B6*((FLOOR((((2^39)*B11)/(B6*B13*B8)),1))+1)*(1/(B2))))</f>
        <v>13335.00000125</v>
      </c>
    </row>
    <row r="24" spans="1:6" x14ac:dyDescent="0.25">
      <c r="A24" s="5" t="s">
        <v>50</v>
      </c>
      <c r="B24" s="36">
        <f>B23+B22</f>
        <v>13672.31250125</v>
      </c>
      <c r="E24" s="7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Dashboard</vt:lpstr>
      <vt:lpstr>EVENT0</vt:lpstr>
      <vt:lpstr>CS Response Time</vt:lpstr>
      <vt:lpstr>Calculations</vt:lpstr>
      <vt:lpstr>PQT Response Time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x0180277</dc:creator>
  <cp:lastModifiedBy>Johnsrud, Siri</cp:lastModifiedBy>
  <cp:lastPrinted>2012-09-06T13:55:54Z</cp:lastPrinted>
  <dcterms:created xsi:type="dcterms:W3CDTF">2012-09-06T13:00:46Z</dcterms:created>
  <dcterms:modified xsi:type="dcterms:W3CDTF">2013-10-10T06:27:27Z</dcterms:modified>
</cp:coreProperties>
</file>