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6155" windowHeight="7935"/>
  </bookViews>
  <sheets>
    <sheet name="Dashboard" sheetId="4" r:id="rId1"/>
    <sheet name="EVENT0" sheetId="1" r:id="rId2"/>
    <sheet name="CS Response Time" sheetId="5" r:id="rId3"/>
    <sheet name="Calculations" sheetId="6" r:id="rId4"/>
    <sheet name="PQT Response Time" sheetId="7" r:id="rId5"/>
  </sheets>
  <definedNames>
    <definedName name="AGC_CFG0_RSSI_VALID_COUNT">#REF!</definedName>
    <definedName name="AGC_CFG1.AGC_SETTLE_WAIT">#REF!</definedName>
    <definedName name="AGC_CFG1.AGC_WIN_SIZE">#REF!</definedName>
    <definedName name="Freq_RC_Osc">#REF!</definedName>
    <definedName name="Number_of_Preamble_bytes">#REF!</definedName>
    <definedName name="TC01_1.2_kbps_2_FSK">#REF!</definedName>
    <definedName name="TC50_500_kbps_4_GFSK">#REF!</definedName>
    <definedName name="TC53__38.4_kbps_2_GFSK">#REF!</definedName>
    <definedName name="TC53_38.4_kbps_2_GFSK">#REF!</definedName>
    <definedName name="TC54_50_kbps_2_GFSK">#REF!</definedName>
    <definedName name="TC55_200_kbps_2_GFSK">#REF!</definedName>
    <definedName name="TC57_500_kbps_2_FSK">#REF!</definedName>
    <definedName name="TC58_100_kbps_2_GFSK">#REF!</definedName>
  </definedNames>
  <calcPr calcId="145621"/>
</workbook>
</file>

<file path=xl/calcChain.xml><?xml version="1.0" encoding="utf-8"?>
<calcChain xmlns="http://schemas.openxmlformats.org/spreadsheetml/2006/main">
  <c r="B25" i="5" l="1"/>
  <c r="B2" i="7" l="1"/>
  <c r="B3" i="7"/>
  <c r="B4" i="7"/>
  <c r="B8" i="7" l="1"/>
  <c r="B6" i="4" l="1"/>
  <c r="B8" i="4"/>
  <c r="B14" i="7" l="1"/>
  <c r="B13" i="7"/>
  <c r="B10" i="7" l="1"/>
  <c r="B11" i="7" s="1"/>
  <c r="B12" i="7"/>
  <c r="B9" i="7"/>
  <c r="B7" i="7"/>
  <c r="B6" i="7"/>
  <c r="B5" i="7"/>
  <c r="A21" i="7"/>
  <c r="B22" i="7" l="1"/>
  <c r="B17" i="7"/>
  <c r="B19" i="7"/>
  <c r="B16" i="7"/>
  <c r="B18" i="7"/>
  <c r="B20" i="7"/>
  <c r="B3" i="5"/>
  <c r="B4" i="5" s="1"/>
  <c r="B21" i="7" l="1"/>
  <c r="B23" i="7" l="1"/>
  <c r="D3" i="6"/>
  <c r="D2" i="6"/>
  <c r="B4" i="1"/>
  <c r="B3" i="1"/>
  <c r="B2" i="1"/>
  <c r="B8" i="1" s="1"/>
  <c r="B17" i="5"/>
  <c r="B14" i="5"/>
  <c r="B15" i="5" s="1"/>
  <c r="B13" i="5"/>
  <c r="B12" i="5"/>
  <c r="B10" i="5"/>
  <c r="B11" i="5" s="1"/>
  <c r="B9" i="5"/>
  <c r="B8" i="5"/>
  <c r="B6" i="5"/>
  <c r="B7" i="5" s="1"/>
  <c r="B5" i="5"/>
  <c r="B2" i="5"/>
  <c r="A24" i="5" l="1"/>
  <c r="B21" i="5"/>
  <c r="B22" i="5"/>
  <c r="B20" i="5"/>
  <c r="B19" i="5"/>
  <c r="B23" i="5"/>
  <c r="B24" i="5" l="1"/>
  <c r="B27" i="5"/>
  <c r="B26" i="5"/>
  <c r="B29" i="5" l="1"/>
  <c r="B28" i="5"/>
  <c r="B9" i="1" l="1"/>
  <c r="B1" i="6"/>
  <c r="D1" i="6" s="1"/>
  <c r="F6" i="1" l="1"/>
  <c r="F5" i="1"/>
  <c r="F4" i="1"/>
  <c r="F3" i="1"/>
  <c r="E3" i="1"/>
  <c r="E6" i="1"/>
  <c r="E5" i="1"/>
  <c r="E4" i="1"/>
  <c r="B7" i="1" l="1"/>
  <c r="B10" i="1" s="1"/>
  <c r="B4" i="6" l="1"/>
  <c r="B22" i="4" s="1"/>
  <c r="D5" i="6"/>
  <c r="D2" i="4" l="1"/>
  <c r="B23" i="4"/>
  <c r="B21" i="4"/>
</calcChain>
</file>

<file path=xl/sharedStrings.xml><?xml version="1.0" encoding="utf-8"?>
<sst xmlns="http://schemas.openxmlformats.org/spreadsheetml/2006/main" count="96" uniqueCount="75">
  <si>
    <t>WOR_RES</t>
  </si>
  <si>
    <t>EVENT0 (hex)</t>
  </si>
  <si>
    <t>Settings</t>
  </si>
  <si>
    <t>SYNC_CFG0.RX_CONFIG_LIMITATION</t>
  </si>
  <si>
    <t>RSSI Update Rate Scale Factor</t>
  </si>
  <si>
    <t xml:space="preserve">CHAN_BW.ADC_CIC_DECFACT </t>
  </si>
  <si>
    <t>Decimation Factor</t>
  </si>
  <si>
    <t>DCFILT_CFG.DCFILT_FREEZE_COEFF</t>
  </si>
  <si>
    <t>DCFILT_CFG.DCFILT_BW_SETTLE</t>
  </si>
  <si>
    <t>AGC_CFG0.RSSI_VALID_COUNT</t>
  </si>
  <si>
    <t>m(AGC_CFG0.RSSI_VALID_COUNT)</t>
  </si>
  <si>
    <t>IF_MIX_CFG.CMIX_CFG</t>
  </si>
  <si>
    <t>AGC_CFG1.AGC_WIN_SIZE</t>
  </si>
  <si>
    <t>AGC_CFG1.AGC_SETTLE_WAIT</t>
  </si>
  <si>
    <t>m(AGC_CFG1.AGC_SETTLE_WAIT)</t>
  </si>
  <si>
    <t># of AGC_UPDATE Pulses</t>
  </si>
  <si>
    <t>IQIC.IQIC_EN</t>
  </si>
  <si>
    <t>Results</t>
  </si>
  <si>
    <t>D0</t>
  </si>
  <si>
    <t>D1</t>
  </si>
  <si>
    <t>D2</t>
  </si>
  <si>
    <t>D3</t>
  </si>
  <si>
    <t>D4</t>
  </si>
  <si>
    <t>T1</t>
  </si>
  <si>
    <t>T2</t>
  </si>
  <si>
    <t>T3</t>
  </si>
  <si>
    <t>CS Response Time (# of AGC_UPDATE pulses is known)</t>
  </si>
  <si>
    <t>Max CS Response Time</t>
  </si>
  <si>
    <t>Number of Preamble Bytes</t>
  </si>
  <si>
    <t>DCFILT_CFG</t>
  </si>
  <si>
    <t>CHAN_BW</t>
  </si>
  <si>
    <t>AGC_CFG1</t>
  </si>
  <si>
    <t>AGC_CFG0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</si>
  <si>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Event0</t>
    </r>
  </si>
  <si>
    <t>CHAN_BW.BB_CIC_DECFACT</t>
  </si>
  <si>
    <t>MDMCFG0</t>
  </si>
  <si>
    <t>IQIC</t>
  </si>
  <si>
    <t>SYNC_CFG0</t>
  </si>
  <si>
    <t>IF_MIX_CFG</t>
  </si>
  <si>
    <t>Resolution [s]</t>
  </si>
  <si>
    <r>
      <t>Max t</t>
    </r>
    <r>
      <rPr>
        <b/>
        <vertAlign val="subscript"/>
        <sz val="11"/>
        <color theme="1"/>
        <rFont val="Calibri"/>
        <family val="2"/>
        <scheme val="minor"/>
      </rPr>
      <t xml:space="preserve">event0 </t>
    </r>
    <r>
      <rPr>
        <b/>
        <sz val="11"/>
        <color theme="1"/>
        <rFont val="Calibri"/>
        <family val="2"/>
        <scheme val="minor"/>
      </rPr>
      <t>[s]</t>
    </r>
  </si>
  <si>
    <r>
      <t>f</t>
    </r>
    <r>
      <rPr>
        <b/>
        <vertAlign val="subscript"/>
        <sz val="11"/>
        <color theme="1"/>
        <rFont val="Calibri"/>
        <family val="2"/>
        <scheme val="minor"/>
      </rPr>
      <t>RCOSC</t>
    </r>
    <r>
      <rPr>
        <b/>
        <sz val="11"/>
        <color theme="1"/>
        <rFont val="Calibri"/>
        <family val="2"/>
        <scheme val="minor"/>
      </rPr>
      <t xml:space="preserve"> [kHz]</t>
    </r>
  </si>
  <si>
    <t>WOR RES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</si>
  <si>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Event0</t>
    </r>
    <r>
      <rPr>
        <b/>
        <sz val="11"/>
        <color theme="1"/>
        <rFont val="Calibri"/>
        <family val="2"/>
        <scheme val="minor"/>
      </rPr>
      <t xml:space="preserve"> [s]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</si>
  <si>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Event0</t>
    </r>
    <r>
      <rPr>
        <b/>
        <sz val="11"/>
        <color theme="1"/>
        <rFont val="Calibri"/>
        <family val="2"/>
        <scheme val="minor"/>
      </rPr>
      <t xml:space="preserve"> [ms]</t>
    </r>
  </si>
  <si>
    <r>
      <t>t</t>
    </r>
    <r>
      <rPr>
        <vertAlign val="subscript"/>
        <sz val="11"/>
        <color theme="1"/>
        <rFont val="Calibri"/>
        <family val="2"/>
        <scheme val="minor"/>
      </rPr>
      <t>RX</t>
    </r>
  </si>
  <si>
    <r>
      <t>t</t>
    </r>
    <r>
      <rPr>
        <vertAlign val="subscript"/>
        <sz val="11"/>
        <color theme="1"/>
        <rFont val="Calibri"/>
        <family val="2"/>
        <scheme val="minor"/>
      </rPr>
      <t>XTAL</t>
    </r>
  </si>
  <si>
    <r>
      <t>t</t>
    </r>
    <r>
      <rPr>
        <vertAlign val="subscript"/>
        <sz val="11"/>
        <color theme="1"/>
        <rFont val="Calibri"/>
        <family val="2"/>
        <scheme val="minor"/>
      </rPr>
      <t>PLL</t>
    </r>
  </si>
  <si>
    <r>
      <t>t</t>
    </r>
    <r>
      <rPr>
        <vertAlign val="subscript"/>
        <sz val="11"/>
        <color theme="1"/>
        <rFont val="Calibri"/>
        <family val="2"/>
        <scheme val="minor"/>
      </rPr>
      <t>SLEEP</t>
    </r>
  </si>
  <si>
    <t>Average Current Consuption [mA]</t>
  </si>
  <si>
    <t>Average Current Consumption</t>
  </si>
  <si>
    <t>Input Parameters: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</si>
  <si>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>XOSC</t>
    </r>
    <r>
      <rPr>
        <b/>
        <sz val="11"/>
        <color theme="1"/>
        <rFont val="Calibri"/>
        <family val="2"/>
        <scheme val="minor"/>
      </rPr>
      <t xml:space="preserve"> [MHz]</t>
    </r>
  </si>
  <si>
    <r>
      <t>f</t>
    </r>
    <r>
      <rPr>
        <vertAlign val="subscript"/>
        <sz val="11"/>
        <rFont val="Calibri"/>
        <family val="2"/>
        <scheme val="minor"/>
      </rPr>
      <t>XOSC</t>
    </r>
    <r>
      <rPr>
        <sz val="11"/>
        <rFont val="Calibri"/>
        <family val="2"/>
        <scheme val="minor"/>
      </rPr>
      <t xml:space="preserve"> [MHz]</t>
    </r>
  </si>
  <si>
    <t>Data Rate [sps]</t>
  </si>
  <si>
    <t>PQT Response Time</t>
  </si>
  <si>
    <t>PREAMBLE_CFG0.PQT_VALID_TIMEOUT</t>
  </si>
  <si>
    <t>m(PREAMBLE_CFG0.PQT_VALID_TIMEOUT)</t>
  </si>
  <si>
    <t>SYMBOL_RATE2</t>
  </si>
  <si>
    <t>SYMBOL_RATE0</t>
  </si>
  <si>
    <t>SYMBOL_RATE1</t>
  </si>
  <si>
    <t>PREAMBLE_CFG0</t>
  </si>
  <si>
    <t>MDMCFG2</t>
  </si>
  <si>
    <t>SYMBOL_RATE2.SRATE_E</t>
  </si>
  <si>
    <t>SYMBOL_RATE2/1/0.SRATE_M</t>
  </si>
  <si>
    <t>Termination Based on:</t>
  </si>
  <si>
    <t>CS</t>
  </si>
  <si>
    <t>PQT</t>
  </si>
  <si>
    <t xml:space="preserve">SYNC_CFG0.RX_CONFIG_LIMITATION </t>
  </si>
  <si>
    <t>1C</t>
  </si>
  <si>
    <t>8A</t>
  </si>
  <si>
    <t>8F</t>
  </si>
  <si>
    <t>C8</t>
  </si>
  <si>
    <t>4C</t>
  </si>
  <si>
    <r>
      <t>Tolerance f</t>
    </r>
    <r>
      <rPr>
        <b/>
        <vertAlign val="subscript"/>
        <sz val="11"/>
        <color theme="1"/>
        <rFont val="Calibri"/>
        <family val="2"/>
        <scheme val="minor"/>
      </rPr>
      <t>RCOSC</t>
    </r>
    <r>
      <rPr>
        <b/>
        <sz val="11"/>
        <color theme="1"/>
        <rFont val="Calibri"/>
        <family val="2"/>
        <scheme val="minor"/>
      </rPr>
      <t xml:space="preserve"> [%]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</si>
</sst>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 * #,##0.00_ ;_ * \-#,##0.00_ ;_ * &quot;-&quot;??_ ;_ @_ "/>
    <numFmt numFmtId="164" formatCode="0.000"/>
    <numFmt numFmtId="165" formatCode="0.00000&quot; ms&quot;"/>
    <numFmt numFmtId="166" formatCode="0.00&quot; µs&quot;"/>
    <numFmt numFmtId="167" formatCode="0.000&quot; ms&quot;"/>
    <numFmt numFmtId="168" formatCode="0.00&quot; ms&quot;"/>
    <numFmt numFmtId="169" formatCode="0.000&quot; mA&quot;"/>
    <numFmt numFmtId="170" formatCode="0.000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10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0" fontId="0" fillId="0" borderId="8" xfId="0" applyBorder="1"/>
    <xf numFmtId="0" fontId="1" fillId="2" borderId="2" xfId="0" applyFont="1" applyFill="1" applyBorder="1"/>
    <xf numFmtId="0" fontId="1" fillId="2" borderId="5" xfId="0" applyFont="1" applyFill="1" applyBorder="1"/>
    <xf numFmtId="0" fontId="1" fillId="2" borderId="7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164" fontId="0" fillId="0" borderId="6" xfId="0" applyNumberFormat="1" applyBorder="1"/>
    <xf numFmtId="164" fontId="0" fillId="0" borderId="9" xfId="0" applyNumberFormat="1" applyBorder="1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3" fillId="0" borderId="0" xfId="1" applyFont="1"/>
    <xf numFmtId="0" fontId="5" fillId="0" borderId="0" xfId="0" applyFont="1"/>
    <xf numFmtId="0" fontId="1" fillId="3" borderId="10" xfId="0" applyFont="1" applyFill="1" applyBorder="1"/>
    <xf numFmtId="0" fontId="0" fillId="0" borderId="0" xfId="0" applyFont="1"/>
    <xf numFmtId="0" fontId="0" fillId="0" borderId="13" xfId="0" applyFont="1" applyBorder="1"/>
    <xf numFmtId="0" fontId="0" fillId="2" borderId="13" xfId="0" applyFont="1" applyFill="1" applyBorder="1"/>
    <xf numFmtId="0" fontId="0" fillId="0" borderId="13" xfId="0" applyFont="1" applyFill="1" applyBorder="1"/>
    <xf numFmtId="166" fontId="0" fillId="2" borderId="13" xfId="0" applyNumberFormat="1" applyFont="1" applyFill="1" applyBorder="1"/>
    <xf numFmtId="166" fontId="0" fillId="2" borderId="1" xfId="0" applyNumberFormat="1" applyFont="1" applyFill="1" applyBorder="1"/>
    <xf numFmtId="167" fontId="1" fillId="2" borderId="1" xfId="0" applyNumberFormat="1" applyFont="1" applyFill="1" applyBorder="1"/>
    <xf numFmtId="0" fontId="0" fillId="0" borderId="1" xfId="0" applyFont="1" applyBorder="1" applyAlignment="1">
      <alignment horizontal="right"/>
    </xf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165" fontId="0" fillId="0" borderId="0" xfId="0" applyNumberFormat="1"/>
    <xf numFmtId="164" fontId="0" fillId="0" borderId="0" xfId="0" applyNumberFormat="1"/>
    <xf numFmtId="0" fontId="0" fillId="3" borderId="1" xfId="0" applyFont="1" applyFill="1" applyBorder="1"/>
    <xf numFmtId="164" fontId="1" fillId="0" borderId="0" xfId="0" applyNumberFormat="1" applyFont="1"/>
    <xf numFmtId="0" fontId="1" fillId="0" borderId="1" xfId="0" applyFont="1" applyBorder="1"/>
    <xf numFmtId="0" fontId="1" fillId="0" borderId="1" xfId="0" applyFont="1" applyFill="1" applyBorder="1"/>
    <xf numFmtId="0" fontId="7" fillId="0" borderId="0" xfId="0" applyFont="1"/>
    <xf numFmtId="0" fontId="7" fillId="0" borderId="0" xfId="1" applyFont="1"/>
    <xf numFmtId="0" fontId="0" fillId="0" borderId="12" xfId="0" applyFont="1" applyBorder="1"/>
    <xf numFmtId="0" fontId="1" fillId="0" borderId="12" xfId="0" applyFont="1" applyBorder="1"/>
    <xf numFmtId="0" fontId="0" fillId="0" borderId="0" xfId="0" applyFill="1"/>
    <xf numFmtId="1" fontId="0" fillId="2" borderId="1" xfId="0" applyNumberFormat="1" applyFont="1" applyFill="1" applyBorder="1" applyAlignment="1">
      <alignment horizontal="right"/>
    </xf>
    <xf numFmtId="0" fontId="0" fillId="0" borderId="0" xfId="0" quotePrefix="1"/>
    <xf numFmtId="0" fontId="9" fillId="0" borderId="0" xfId="0" applyFont="1" applyProtection="1">
      <protection hidden="1"/>
    </xf>
    <xf numFmtId="49" fontId="7" fillId="0" borderId="1" xfId="0" applyNumberFormat="1" applyFont="1" applyBorder="1" applyAlignment="1">
      <alignment horizontal="right"/>
    </xf>
    <xf numFmtId="2" fontId="0" fillId="0" borderId="0" xfId="0" applyNumberFormat="1"/>
    <xf numFmtId="43" fontId="0" fillId="0" borderId="0" xfId="2" applyFont="1"/>
    <xf numFmtId="0" fontId="1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170" fontId="0" fillId="0" borderId="0" xfId="0" applyNumberFormat="1"/>
    <xf numFmtId="165" fontId="1" fillId="2" borderId="1" xfId="0" applyNumberFormat="1" applyFont="1" applyFill="1" applyBorder="1"/>
    <xf numFmtId="0" fontId="12" fillId="0" borderId="0" xfId="0" applyFont="1"/>
    <xf numFmtId="0" fontId="0" fillId="2" borderId="1" xfId="0" applyFont="1" applyFill="1" applyBorder="1" applyAlignment="1">
      <alignment horizontal="right"/>
    </xf>
    <xf numFmtId="0" fontId="11" fillId="0" borderId="1" xfId="0" applyFont="1" applyBorder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0" fillId="0" borderId="14" xfId="0" applyFont="1" applyBorder="1" applyAlignment="1">
      <alignment horizontal="right"/>
    </xf>
    <xf numFmtId="169" fontId="1" fillId="0" borderId="13" xfId="0" applyNumberFormat="1" applyFont="1" applyBorder="1" applyAlignment="1">
      <alignment horizontal="right"/>
    </xf>
    <xf numFmtId="168" fontId="1" fillId="0" borderId="13" xfId="0" applyNumberFormat="1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3" xfId="0" applyFont="1" applyBorder="1"/>
    <xf numFmtId="0" fontId="1" fillId="0" borderId="14" xfId="0" applyFont="1" applyFill="1" applyBorder="1"/>
    <xf numFmtId="0" fontId="1" fillId="0" borderId="13" xfId="0" applyFont="1" applyBorder="1" applyAlignment="1"/>
    <xf numFmtId="0" fontId="1" fillId="0" borderId="13" xfId="0" applyFont="1" applyFill="1" applyBorder="1" applyAlignment="1"/>
    <xf numFmtId="0" fontId="1" fillId="0" borderId="15" xfId="0" applyFont="1" applyBorder="1" applyAlignment="1"/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workbookViewId="0">
      <selection activeCell="B2" sqref="B2"/>
    </sheetView>
  </sheetViews>
  <sheetFormatPr defaultRowHeight="15" x14ac:dyDescent="0.25"/>
  <cols>
    <col min="1" max="1" width="28.28515625" bestFit="1" customWidth="1"/>
    <col min="2" max="2" width="10" bestFit="1" customWidth="1"/>
    <col min="3" max="3" width="9.5703125" customWidth="1"/>
    <col min="4" max="4" width="9" customWidth="1"/>
    <col min="5" max="5" width="11.28515625" bestFit="1" customWidth="1"/>
    <col min="9" max="9" width="7" bestFit="1" customWidth="1"/>
    <col min="10" max="10" width="12" bestFit="1" customWidth="1"/>
  </cols>
  <sheetData>
    <row r="1" spans="1:8" x14ac:dyDescent="0.25">
      <c r="A1" s="63" t="s">
        <v>51</v>
      </c>
      <c r="B1" s="64"/>
      <c r="C1" s="42" t="s">
        <v>66</v>
      </c>
    </row>
    <row r="2" spans="1:8" x14ac:dyDescent="0.25">
      <c r="A2" s="33" t="s">
        <v>28</v>
      </c>
      <c r="B2" s="52">
        <v>1792</v>
      </c>
      <c r="C2" s="42" t="s">
        <v>67</v>
      </c>
      <c r="D2" s="27" t="str">
        <f>IF(((Calculations!B4)&gt;0),"","Number of preamble is too low")</f>
        <v/>
      </c>
    </row>
    <row r="3" spans="1:8" s="27" customFormat="1" x14ac:dyDescent="0.25">
      <c r="A3" s="33" t="s">
        <v>58</v>
      </c>
      <c r="B3" s="52" t="s">
        <v>71</v>
      </c>
    </row>
    <row r="4" spans="1:8" s="27" customFormat="1" x14ac:dyDescent="0.25">
      <c r="A4" s="33" t="s">
        <v>60</v>
      </c>
      <c r="B4" s="52">
        <v>75</v>
      </c>
    </row>
    <row r="5" spans="1:8" s="27" customFormat="1" x14ac:dyDescent="0.25">
      <c r="A5" s="33" t="s">
        <v>59</v>
      </c>
      <c r="B5" s="52">
        <v>10</v>
      </c>
    </row>
    <row r="6" spans="1:8" x14ac:dyDescent="0.25">
      <c r="A6" s="33" t="s">
        <v>54</v>
      </c>
      <c r="B6" s="40">
        <f>IF(((BIN2DEC(1*SUBSTITUTE(SUBSTITUTE(HEX2BIN(B3)+DEC2BIN(240),1,0),2,1))/16)&gt;0),((((2^20)+(((BIN2DEC(1*SUBSTITUTE(SUBSTITUTE(HEX2BIN(B3)+DEC2BIN(15),1,0),2,1)))*(2^16))+((BIN2DEC(1*SUBSTITUTE(SUBSTITUTE(HEX2BIN(B4)+DEC2BIN(255),1,0),2,1)))*(2^8))+(BIN2DEC(1*SUBSTITUTE(SUBSTITUTE(HEX2BIN(B5)+DEC2BIN(255),1,0),2,1)))))*(2^(BIN2DEC(1*SUBSTITUTE(SUBSTITUTE(HEX2BIN(B3)+DEC2BIN(240),1,0),2,1))/16)))/(2^39)*B7*1000000),(((((BIN2DEC(1*SUBSTITUTE(SUBSTITUTE(HEX2BIN(B3)+DEC2BIN(15),1,0),2,1)))*(2^16))+((BIN2DEC(1*SUBSTITUTE(SUBSTITUTE(HEX2BIN(B4)+DEC2BIN(255),1,0),2,1)))*(2^8))+(BIN2DEC(1*SUBSTITUTE(SUBSTITUTE(HEX2BIN(B5)+DEC2BIN(255),1,0),2,1))))/(2^38))*B7*1000000))</f>
        <v>38399.994373321533</v>
      </c>
    </row>
    <row r="7" spans="1:8" s="25" customFormat="1" ht="18" x14ac:dyDescent="0.35">
      <c r="A7" s="33" t="s">
        <v>52</v>
      </c>
      <c r="B7" s="23">
        <v>40</v>
      </c>
      <c r="F7" s="27"/>
      <c r="G7" s="27"/>
      <c r="H7" s="27"/>
    </row>
    <row r="8" spans="1:8" ht="18" x14ac:dyDescent="0.35">
      <c r="A8" s="58" t="s">
        <v>41</v>
      </c>
      <c r="B8" s="51">
        <f>B7</f>
        <v>40</v>
      </c>
    </row>
    <row r="9" spans="1:8" s="27" customFormat="1" x14ac:dyDescent="0.25">
      <c r="A9" s="33" t="s">
        <v>62</v>
      </c>
      <c r="B9" s="52">
        <v>2</v>
      </c>
      <c r="F9" s="41"/>
    </row>
    <row r="10" spans="1:8" x14ac:dyDescent="0.25">
      <c r="A10" s="33" t="s">
        <v>35</v>
      </c>
      <c r="B10" s="52">
        <v>5</v>
      </c>
      <c r="D10" s="12"/>
    </row>
    <row r="11" spans="1:8" x14ac:dyDescent="0.25">
      <c r="A11" s="33" t="s">
        <v>36</v>
      </c>
      <c r="B11" s="52" t="s">
        <v>72</v>
      </c>
      <c r="D11" s="12"/>
    </row>
    <row r="12" spans="1:8" x14ac:dyDescent="0.25">
      <c r="A12" s="33" t="s">
        <v>37</v>
      </c>
      <c r="B12" s="52">
        <v>3</v>
      </c>
      <c r="D12" s="12"/>
    </row>
    <row r="13" spans="1:8" x14ac:dyDescent="0.25">
      <c r="A13" s="33" t="s">
        <v>30</v>
      </c>
      <c r="B13" s="53">
        <v>10</v>
      </c>
      <c r="D13" s="12"/>
      <c r="F13" s="27"/>
    </row>
    <row r="14" spans="1:8" x14ac:dyDescent="0.25">
      <c r="A14" s="33" t="s">
        <v>29</v>
      </c>
      <c r="B14" s="53" t="s">
        <v>73</v>
      </c>
      <c r="D14" s="13"/>
    </row>
    <row r="15" spans="1:8" x14ac:dyDescent="0.25">
      <c r="A15" s="34" t="s">
        <v>38</v>
      </c>
      <c r="B15" s="52" t="s">
        <v>69</v>
      </c>
      <c r="D15" s="13"/>
    </row>
    <row r="16" spans="1:8" x14ac:dyDescent="0.25">
      <c r="A16" s="34" t="s">
        <v>31</v>
      </c>
      <c r="B16" s="52">
        <v>0</v>
      </c>
      <c r="D16" s="13"/>
    </row>
    <row r="17" spans="1:11" x14ac:dyDescent="0.25">
      <c r="A17" s="34" t="s">
        <v>32</v>
      </c>
      <c r="B17" s="52">
        <v>90</v>
      </c>
      <c r="D17" s="13"/>
    </row>
    <row r="18" spans="1:11" x14ac:dyDescent="0.25">
      <c r="A18" s="34" t="s">
        <v>61</v>
      </c>
      <c r="B18" s="52" t="s">
        <v>70</v>
      </c>
      <c r="D18" s="13"/>
    </row>
    <row r="19" spans="1:11" s="27" customFormat="1" x14ac:dyDescent="0.25">
      <c r="A19" s="34" t="s">
        <v>65</v>
      </c>
      <c r="B19" s="43" t="s">
        <v>66</v>
      </c>
      <c r="D19" s="13"/>
      <c r="E19" s="44"/>
      <c r="H19" s="50"/>
      <c r="J19" s="44"/>
    </row>
    <row r="20" spans="1:11" s="27" customFormat="1" x14ac:dyDescent="0.25">
      <c r="A20" s="59"/>
      <c r="B20" s="54"/>
      <c r="D20" s="13"/>
    </row>
    <row r="21" spans="1:11" x14ac:dyDescent="0.25">
      <c r="A21" s="60" t="s">
        <v>50</v>
      </c>
      <c r="B21" s="55">
        <f>IF(((Calculations!B4)&gt;0), Calculations!D5,"Error")</f>
        <v>1.9842966507979079E-2</v>
      </c>
      <c r="D21" s="12"/>
      <c r="E21" s="44"/>
      <c r="H21" s="46"/>
      <c r="I21" s="47"/>
      <c r="J21" s="45"/>
      <c r="K21" s="44"/>
    </row>
    <row r="22" spans="1:11" ht="18" x14ac:dyDescent="0.35">
      <c r="A22" s="61" t="s">
        <v>33</v>
      </c>
      <c r="B22" s="56">
        <f>IF(((Calculations!B4)&gt;0), (HEX2DEC(EVENT0!B10)/B8),"Error")</f>
        <v>372.85</v>
      </c>
      <c r="D22" s="13"/>
      <c r="E22" s="44"/>
      <c r="H22" s="46"/>
      <c r="I22" s="47"/>
      <c r="J22" s="45"/>
      <c r="K22" s="44"/>
    </row>
    <row r="23" spans="1:11" x14ac:dyDescent="0.25">
      <c r="A23" s="62" t="s">
        <v>1</v>
      </c>
      <c r="B23" s="57" t="str">
        <f>IF(((Calculations!B4)&gt;0), EVENT0!B10,"Error")</f>
        <v>3A42</v>
      </c>
      <c r="D23" s="13"/>
      <c r="H23" s="46"/>
      <c r="I23" s="47"/>
      <c r="J23" s="45"/>
      <c r="K23" s="44"/>
    </row>
    <row r="24" spans="1:11" x14ac:dyDescent="0.25">
      <c r="D24" s="13"/>
      <c r="H24" s="46"/>
      <c r="I24" s="47"/>
      <c r="J24" s="45"/>
      <c r="K24" s="44"/>
    </row>
    <row r="25" spans="1:11" x14ac:dyDescent="0.25">
      <c r="D25" s="13"/>
      <c r="H25" s="46"/>
      <c r="I25" s="47"/>
      <c r="J25" s="45"/>
      <c r="K25" s="44"/>
    </row>
    <row r="26" spans="1:11" x14ac:dyDescent="0.25">
      <c r="D26" s="14"/>
      <c r="H26" s="46"/>
      <c r="I26" s="47"/>
      <c r="J26" s="45"/>
      <c r="K26" s="44"/>
    </row>
    <row r="27" spans="1:11" x14ac:dyDescent="0.25">
      <c r="D27" s="14"/>
      <c r="H27" s="46"/>
      <c r="I27" s="47"/>
      <c r="J27" s="45"/>
      <c r="K27" s="44"/>
    </row>
    <row r="28" spans="1:11" x14ac:dyDescent="0.25">
      <c r="H28" s="46"/>
      <c r="I28" s="47"/>
      <c r="J28" s="45"/>
      <c r="K28" s="44"/>
    </row>
    <row r="29" spans="1:11" x14ac:dyDescent="0.25">
      <c r="H29" s="46"/>
      <c r="I29" s="47"/>
      <c r="J29" s="45"/>
      <c r="K29" s="44"/>
    </row>
    <row r="30" spans="1:11" x14ac:dyDescent="0.25">
      <c r="H30" s="46"/>
      <c r="I30" s="47"/>
      <c r="J30" s="45"/>
      <c r="K30" s="44"/>
    </row>
    <row r="31" spans="1:11" x14ac:dyDescent="0.25">
      <c r="H31" s="46"/>
      <c r="I31" s="47"/>
      <c r="J31" s="45"/>
      <c r="K31" s="44"/>
    </row>
    <row r="32" spans="1:11" x14ac:dyDescent="0.25">
      <c r="H32" s="46"/>
      <c r="I32" s="47"/>
      <c r="J32" s="45"/>
      <c r="K32" s="44"/>
    </row>
    <row r="33" spans="8:11" x14ac:dyDescent="0.25">
      <c r="H33" s="46"/>
      <c r="I33" s="47"/>
      <c r="J33" s="45"/>
      <c r="K33" s="44"/>
    </row>
    <row r="34" spans="8:11" x14ac:dyDescent="0.25">
      <c r="H34" s="46"/>
      <c r="I34" s="47"/>
      <c r="J34" s="45"/>
      <c r="K34" s="44"/>
    </row>
    <row r="35" spans="8:11" x14ac:dyDescent="0.25">
      <c r="H35" s="46"/>
      <c r="I35" s="47"/>
      <c r="J35" s="45"/>
      <c r="K35" s="44"/>
    </row>
    <row r="36" spans="8:11" x14ac:dyDescent="0.25">
      <c r="H36" s="46"/>
      <c r="I36" s="47"/>
      <c r="J36" s="45"/>
      <c r="K36" s="44"/>
    </row>
    <row r="37" spans="8:11" x14ac:dyDescent="0.25">
      <c r="H37" s="46"/>
      <c r="I37" s="47"/>
      <c r="J37" s="45"/>
      <c r="K37" s="44"/>
    </row>
    <row r="38" spans="8:11" x14ac:dyDescent="0.25">
      <c r="H38" s="46"/>
      <c r="I38" s="47"/>
      <c r="J38" s="45"/>
      <c r="K38" s="44"/>
    </row>
    <row r="39" spans="8:11" x14ac:dyDescent="0.25">
      <c r="H39" s="46"/>
      <c r="I39" s="47"/>
      <c r="J39" s="45"/>
      <c r="K39" s="44"/>
    </row>
    <row r="40" spans="8:11" x14ac:dyDescent="0.25">
      <c r="H40" s="46"/>
      <c r="I40" s="47"/>
      <c r="J40" s="45"/>
      <c r="K40" s="44"/>
    </row>
    <row r="41" spans="8:11" x14ac:dyDescent="0.25">
      <c r="H41" s="46"/>
      <c r="I41" s="47"/>
      <c r="J41" s="45"/>
      <c r="K41" s="44"/>
    </row>
    <row r="42" spans="8:11" x14ac:dyDescent="0.25">
      <c r="H42" s="46"/>
      <c r="I42" s="47"/>
      <c r="J42" s="45"/>
      <c r="K42" s="44"/>
    </row>
    <row r="43" spans="8:11" x14ac:dyDescent="0.25">
      <c r="H43" s="46"/>
      <c r="I43" s="47"/>
      <c r="J43" s="45"/>
      <c r="K43" s="44"/>
    </row>
    <row r="44" spans="8:11" x14ac:dyDescent="0.25">
      <c r="H44" s="46"/>
      <c r="I44" s="47"/>
      <c r="J44" s="45"/>
      <c r="K44" s="44"/>
    </row>
    <row r="45" spans="8:11" x14ac:dyDescent="0.25">
      <c r="H45" s="46"/>
      <c r="I45" s="47"/>
      <c r="J45" s="45"/>
      <c r="K45" s="44"/>
    </row>
    <row r="46" spans="8:11" x14ac:dyDescent="0.25">
      <c r="H46" s="46"/>
      <c r="I46" s="47"/>
      <c r="J46" s="45"/>
      <c r="K46" s="44"/>
    </row>
    <row r="47" spans="8:11" x14ac:dyDescent="0.25">
      <c r="H47" s="46"/>
      <c r="I47" s="47"/>
      <c r="J47" s="45"/>
      <c r="K47" s="44"/>
    </row>
    <row r="48" spans="8:11" x14ac:dyDescent="0.25">
      <c r="H48" s="46"/>
      <c r="I48" s="47"/>
      <c r="J48" s="45"/>
      <c r="K48" s="44"/>
    </row>
    <row r="49" spans="8:11" x14ac:dyDescent="0.25">
      <c r="H49" s="46"/>
      <c r="I49" s="47"/>
      <c r="J49" s="45"/>
      <c r="K49" s="44"/>
    </row>
    <row r="50" spans="8:11" x14ac:dyDescent="0.25">
      <c r="H50" s="46"/>
      <c r="I50" s="47"/>
      <c r="J50" s="45"/>
      <c r="K50" s="44"/>
    </row>
    <row r="51" spans="8:11" x14ac:dyDescent="0.25">
      <c r="H51" s="46"/>
      <c r="I51" s="47"/>
      <c r="J51" s="45"/>
      <c r="K51" s="44"/>
    </row>
    <row r="52" spans="8:11" x14ac:dyDescent="0.25">
      <c r="H52" s="46"/>
      <c r="I52" s="47"/>
      <c r="J52" s="45"/>
      <c r="K52" s="44"/>
    </row>
    <row r="53" spans="8:11" x14ac:dyDescent="0.25">
      <c r="H53" s="46"/>
      <c r="I53" s="47"/>
      <c r="J53" s="45"/>
      <c r="K53" s="44"/>
    </row>
    <row r="54" spans="8:11" x14ac:dyDescent="0.25">
      <c r="H54" s="46"/>
      <c r="I54" s="47"/>
      <c r="J54" s="45"/>
      <c r="K54" s="44"/>
    </row>
    <row r="55" spans="8:11" x14ac:dyDescent="0.25">
      <c r="J55" s="45"/>
      <c r="K55" s="44"/>
    </row>
  </sheetData>
  <mergeCells count="1">
    <mergeCell ref="A1:B1"/>
  </mergeCells>
  <dataValidations count="1">
    <dataValidation type="list" allowBlank="1" showInputMessage="1" showErrorMessage="1" sqref="B19">
      <formula1>$C$1:$C$2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8" sqref="B8"/>
    </sheetView>
  </sheetViews>
  <sheetFormatPr defaultRowHeight="15" x14ac:dyDescent="0.25"/>
  <cols>
    <col min="1" max="1" width="25.28515625" style="10" bestFit="1" customWidth="1"/>
    <col min="2" max="2" width="10.7109375" bestFit="1" customWidth="1"/>
    <col min="4" max="4" width="9.7109375" bestFit="1" customWidth="1"/>
    <col min="5" max="5" width="13.42578125" bestFit="1" customWidth="1"/>
    <col min="6" max="6" width="12.5703125" bestFit="1" customWidth="1"/>
  </cols>
  <sheetData>
    <row r="1" spans="1:6" ht="15.75" thickBot="1" x14ac:dyDescent="0.3"/>
    <row r="2" spans="1:6" ht="18" x14ac:dyDescent="0.35">
      <c r="A2" s="10" t="s">
        <v>28</v>
      </c>
      <c r="B2">
        <f>Dashboard!B2</f>
        <v>1792</v>
      </c>
      <c r="D2" s="3" t="s">
        <v>0</v>
      </c>
      <c r="E2" s="6" t="s">
        <v>39</v>
      </c>
      <c r="F2" s="7" t="s">
        <v>40</v>
      </c>
    </row>
    <row r="3" spans="1:6" x14ac:dyDescent="0.25">
      <c r="A3" s="10" t="s">
        <v>54</v>
      </c>
      <c r="B3">
        <f>Dashboard!B6</f>
        <v>38399.994373321533</v>
      </c>
      <c r="D3" s="4">
        <v>0</v>
      </c>
      <c r="E3" s="1">
        <f>(2^(5*D3)/(B4*10^3))</f>
        <v>2.5000000000000001E-5</v>
      </c>
      <c r="F3" s="8">
        <f>(65535*2^(5*D3)/(B4*10^3))</f>
        <v>1.6383749999999999</v>
      </c>
    </row>
    <row r="4" spans="1:6" ht="18" x14ac:dyDescent="0.35">
      <c r="A4" s="24" t="s">
        <v>41</v>
      </c>
      <c r="B4">
        <f>Dashboard!B7</f>
        <v>40</v>
      </c>
      <c r="D4" s="4">
        <v>1</v>
      </c>
      <c r="E4" s="1">
        <f>(2^(5*D4)/(B4*10^3))</f>
        <v>8.0000000000000004E-4</v>
      </c>
      <c r="F4" s="8">
        <f>(65535*2^(5*D4)/(B4*10^3))</f>
        <v>52.427999999999997</v>
      </c>
    </row>
    <row r="5" spans="1:6" ht="18" x14ac:dyDescent="0.35">
      <c r="A5" s="28" t="s">
        <v>74</v>
      </c>
      <c r="B5">
        <v>0.1</v>
      </c>
      <c r="D5" s="4">
        <v>2</v>
      </c>
      <c r="E5" s="1">
        <f>(2^(5*D5)/(B4*10^3))</f>
        <v>2.5600000000000001E-2</v>
      </c>
      <c r="F5" s="8">
        <f>(65535*2^(5*D5)/(B4*10^3))</f>
        <v>1677.6959999999999</v>
      </c>
    </row>
    <row r="6" spans="1:6" ht="15.75" thickBot="1" x14ac:dyDescent="0.3">
      <c r="D6" s="5">
        <v>3</v>
      </c>
      <c r="E6" s="2">
        <f>(2^(5*D6)/(B4*10^3))</f>
        <v>0.81920000000000004</v>
      </c>
      <c r="F6" s="9">
        <f>(65535*2^(5*D6)/(B4*10^3))</f>
        <v>53686.271999999997</v>
      </c>
    </row>
    <row r="7" spans="1:6" x14ac:dyDescent="0.25">
      <c r="A7" s="26" t="s">
        <v>42</v>
      </c>
      <c r="B7">
        <f>IF(B8&lt;F3,0,IF(B8&lt;F4,1,IF(B8&lt;F5,2,IF(B8&lt;F6,"ERR"))))</f>
        <v>0</v>
      </c>
    </row>
    <row r="8" spans="1:6" ht="18" x14ac:dyDescent="0.35">
      <c r="A8" s="26" t="s">
        <v>43</v>
      </c>
      <c r="B8">
        <f>(IF((EXACT(Dashboard!C1,Dashboard!B19)),((B2*8-4)/B3),( (B2*8-10)/B3)-('PQT Response Time'!B21/1000000)))*(100/(100+B5))</f>
        <v>0.37285636499023955</v>
      </c>
    </row>
    <row r="9" spans="1:6" ht="18" x14ac:dyDescent="0.35">
      <c r="A9" s="26" t="s">
        <v>44</v>
      </c>
      <c r="B9">
        <f>B8*1000</f>
        <v>372.85636499023957</v>
      </c>
    </row>
    <row r="10" spans="1:6" x14ac:dyDescent="0.25">
      <c r="A10" s="26" t="s">
        <v>1</v>
      </c>
      <c r="B10" s="11" t="str">
        <f>DEC2HEX(ROUNDDOWN((B8*B4*10^3)/(2^(5*B7)),0),4)</f>
        <v>3A42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opLeftCell="A2" workbookViewId="0">
      <selection activeCell="B27" sqref="B27"/>
    </sheetView>
  </sheetViews>
  <sheetFormatPr defaultRowHeight="15" x14ac:dyDescent="0.25"/>
  <cols>
    <col min="1" max="1" width="50" bestFit="1" customWidth="1"/>
    <col min="2" max="2" width="10.5703125" bestFit="1" customWidth="1"/>
    <col min="6" max="6" width="6" customWidth="1"/>
  </cols>
  <sheetData>
    <row r="1" spans="1:2" x14ac:dyDescent="0.25">
      <c r="A1" s="15" t="s">
        <v>2</v>
      </c>
      <c r="B1" s="31"/>
    </row>
    <row r="2" spans="1:2" ht="18" x14ac:dyDescent="0.35">
      <c r="A2" s="35" t="s">
        <v>53</v>
      </c>
      <c r="B2" s="17">
        <f>Dashboard!B7</f>
        <v>40</v>
      </c>
    </row>
    <row r="3" spans="1:2" x14ac:dyDescent="0.25">
      <c r="A3" s="35" t="s">
        <v>3</v>
      </c>
      <c r="B3" s="17">
        <f>BIN2DEC(1*SUBSTITUTE(SUBSTITUTE(HEX2BIN(Dashboard!B12)+DEC2BIN(16),1,0),2,1))/16</f>
        <v>0</v>
      </c>
    </row>
    <row r="4" spans="1:2" x14ac:dyDescent="0.25">
      <c r="A4" s="35" t="s">
        <v>4</v>
      </c>
      <c r="B4" s="18">
        <f>IF(B3,4,2)</f>
        <v>2</v>
      </c>
    </row>
    <row r="5" spans="1:2" x14ac:dyDescent="0.25">
      <c r="A5" s="35" t="s">
        <v>34</v>
      </c>
      <c r="B5" s="17">
        <f>BIN2DEC(1*SUBSTITUTE(SUBSTITUTE(HEX2BIN(Dashboard!B13)+DEC2BIN(63),1,0),2,1))</f>
        <v>16</v>
      </c>
    </row>
    <row r="6" spans="1:2" x14ac:dyDescent="0.25">
      <c r="A6" s="36" t="s">
        <v>5</v>
      </c>
      <c r="B6" s="17">
        <f>BIN2DEC(1*SUBSTITUTE(SUBSTITUTE(HEX2BIN(Dashboard!B13)+DEC2BIN(192),1,0),2,1))/64</f>
        <v>0</v>
      </c>
    </row>
    <row r="7" spans="1:2" x14ac:dyDescent="0.25">
      <c r="A7" s="36" t="s">
        <v>6</v>
      </c>
      <c r="B7" s="18">
        <f>IF((B6=0),12,(IF((B6=1),24,(IF((B6=2),48,("ERR"))))))</f>
        <v>12</v>
      </c>
    </row>
    <row r="8" spans="1:2" x14ac:dyDescent="0.25">
      <c r="A8" s="36" t="s">
        <v>7</v>
      </c>
      <c r="B8" s="17">
        <f>BIN2DEC(1*SUBSTITUTE(SUBSTITUTE(HEX2BIN(Dashboard!B14)+DEC2BIN(64),1,0),2,1))/64</f>
        <v>1</v>
      </c>
    </row>
    <row r="9" spans="1:2" x14ac:dyDescent="0.25">
      <c r="A9" s="36" t="s">
        <v>8</v>
      </c>
      <c r="B9" s="17">
        <f>BIN2DEC(1*SUBSTITUTE(SUBSTITUTE(HEX2BIN(Dashboard!B14)+DEC2BIN(56),1,0),2,1))/8</f>
        <v>1</v>
      </c>
    </row>
    <row r="10" spans="1:2" x14ac:dyDescent="0.25">
      <c r="A10" s="36" t="s">
        <v>9</v>
      </c>
      <c r="B10" s="17">
        <f>BIN2DEC(1*SUBSTITUTE(SUBSTITUTE(HEX2BIN(Dashboard!B17)+DEC2BIN(12),1,0),2,1))/4</f>
        <v>0</v>
      </c>
    </row>
    <row r="11" spans="1:2" x14ac:dyDescent="0.25">
      <c r="A11" s="35" t="s">
        <v>10</v>
      </c>
      <c r="B11" s="18">
        <f>IF(B10=0,1,(IF(B10=1,2,(IF(B10=2,5,(9))))))</f>
        <v>1</v>
      </c>
    </row>
    <row r="12" spans="1:2" x14ac:dyDescent="0.25">
      <c r="A12" s="36" t="s">
        <v>11</v>
      </c>
      <c r="B12" s="19">
        <f>BIN2DEC(1*SUBSTITUTE(SUBSTITUTE(HEX2BIN(Dashboard!B15)+DEC2BIN(28),1,0),2,1))/4</f>
        <v>7</v>
      </c>
    </row>
    <row r="13" spans="1:2" x14ac:dyDescent="0.25">
      <c r="A13" s="36" t="s">
        <v>12</v>
      </c>
      <c r="B13" s="19">
        <f>BIN2DEC(1*SUBSTITUTE(SUBSTITUTE(HEX2BIN(Dashboard!B16)+DEC2BIN(56),1,0),2,1))/8</f>
        <v>0</v>
      </c>
    </row>
    <row r="14" spans="1:2" x14ac:dyDescent="0.25">
      <c r="A14" s="36" t="s">
        <v>13</v>
      </c>
      <c r="B14" s="19">
        <f>BIN2DEC(1*SUBSTITUTE(SUBSTITUTE(HEX2BIN(Dashboard!B16)+DEC2BIN(7),1,0),2,1))</f>
        <v>0</v>
      </c>
    </row>
    <row r="15" spans="1:2" x14ac:dyDescent="0.25">
      <c r="A15" s="36" t="s">
        <v>14</v>
      </c>
      <c r="B15" s="18">
        <f>IF(B14=0,24,(IF(B14=1,32,(IF(B14=2,40,(IF(B14=3,48,(IF(B14=4,64,(IF(B14=5,80,(IF(B14=6,96,(127))))))))))))))</f>
        <v>24</v>
      </c>
    </row>
    <row r="16" spans="1:2" x14ac:dyDescent="0.25">
      <c r="A16" s="16" t="s">
        <v>15</v>
      </c>
      <c r="B16" s="19">
        <v>1</v>
      </c>
    </row>
    <row r="17" spans="1:2" x14ac:dyDescent="0.25">
      <c r="A17" s="16" t="s">
        <v>16</v>
      </c>
      <c r="B17" s="19">
        <f>BIN2DEC(1*SUBSTITUTE(SUBSTITUTE(HEX2BIN(Dashboard!B11)+DEC2BIN(128),1,0),2,1))/128</f>
        <v>1</v>
      </c>
    </row>
    <row r="18" spans="1:2" x14ac:dyDescent="0.25">
      <c r="A18" s="15" t="s">
        <v>17</v>
      </c>
      <c r="B18" s="31"/>
    </row>
    <row r="19" spans="1:2" x14ac:dyDescent="0.25">
      <c r="A19" s="16" t="s">
        <v>18</v>
      </c>
      <c r="B19" s="20">
        <f>(8*B7+20)/B2</f>
        <v>2.9</v>
      </c>
    </row>
    <row r="20" spans="1:2" x14ac:dyDescent="0.25">
      <c r="A20" s="16" t="s">
        <v>19</v>
      </c>
      <c r="B20" s="20">
        <f>((1-B8)*(2^((MIN(B9,4))+3)-1)*B7)/B2</f>
        <v>0</v>
      </c>
    </row>
    <row r="21" spans="1:2" x14ac:dyDescent="0.25">
      <c r="A21" s="16" t="s">
        <v>20</v>
      </c>
      <c r="B21" s="20">
        <f>(1*(12*(MAX(B5,1))*B7+6))/B2</f>
        <v>57.75</v>
      </c>
    </row>
    <row r="22" spans="1:2" x14ac:dyDescent="0.25">
      <c r="A22" s="16" t="s">
        <v>21</v>
      </c>
      <c r="B22" s="20">
        <f>(2*B17+(IF(OR(B12=0,B12=4),0,1))*4)/B2</f>
        <v>0.15</v>
      </c>
    </row>
    <row r="23" spans="1:2" x14ac:dyDescent="0.25">
      <c r="A23" s="16" t="s">
        <v>22</v>
      </c>
      <c r="B23" s="20">
        <f>((15*(MAX(B5,1))-2)*B7+6)/B2</f>
        <v>71.55</v>
      </c>
    </row>
    <row r="24" spans="1:2" x14ac:dyDescent="0.25">
      <c r="A24" s="37" t="str">
        <f>IF(B5&gt;1,("T0 = D0 + D1 + D2 + D3 + D4"), ("T0 = D0 + D1 + D2 + D3 "))</f>
        <v>T0 = D0 + D1 + D2 + D3 + D4</v>
      </c>
      <c r="B24" s="21">
        <f>IF(B5&gt;1,(B19+B20+B21+B22+B23), (B19+B20+B21+B22))</f>
        <v>132.35</v>
      </c>
    </row>
    <row r="25" spans="1:2" x14ac:dyDescent="0.25">
      <c r="A25" s="37" t="s">
        <v>23</v>
      </c>
      <c r="B25" s="21">
        <f>(B15*(MAX(B5,1)*B7)/(B4*B2))</f>
        <v>57.6</v>
      </c>
    </row>
    <row r="26" spans="1:2" x14ac:dyDescent="0.25">
      <c r="A26" s="37" t="s">
        <v>24</v>
      </c>
      <c r="B26" s="21">
        <f>(2^(3+B13)*(MAX(B5,1))*B7)/(B4*B2)</f>
        <v>19.2</v>
      </c>
    </row>
    <row r="27" spans="1:2" x14ac:dyDescent="0.25">
      <c r="A27" s="37" t="s">
        <v>25</v>
      </c>
      <c r="B27" s="21">
        <f>CEILING(48/(((MAX(B5,1))*B7)/(B4*B2*1000000)),1)*((((MAX(B5,1))*B7)/(B4*B2*1000000))/(B2))</f>
        <v>1.2</v>
      </c>
    </row>
    <row r="28" spans="1:2" x14ac:dyDescent="0.25">
      <c r="A28" s="38" t="s">
        <v>26</v>
      </c>
      <c r="B28" s="49">
        <f>(B24+B25*B16+(B26+B27)*B11-B27+10/B2)/1000</f>
        <v>0.2094</v>
      </c>
    </row>
    <row r="29" spans="1:2" x14ac:dyDescent="0.25">
      <c r="A29" s="38" t="s">
        <v>27</v>
      </c>
      <c r="B29" s="49">
        <f>(B24+(B25+B26+B27)*B11-B27+10/B2)/1000</f>
        <v>0.2094</v>
      </c>
    </row>
  </sheetData>
  <hyperlinks>
    <hyperlink ref="A8" location="DCFILT_CFG" display="DCFILT_CFG"/>
    <hyperlink ref="A9" location="DCFILT_CFG" display="DCFILT_CFG"/>
    <hyperlink ref="A10" location="AGC_CFG0" display="AGC_CFG0"/>
    <hyperlink ref="A12" location="IF_MIX_CFG" display="IF_MIX_CFG"/>
    <hyperlink ref="A13" location="AGC_CFG1" display="AGC_CFG1"/>
    <hyperlink ref="A14" location="AGC_CFG1" display="AGC_CFG1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A2" sqref="A2"/>
    </sheetView>
  </sheetViews>
  <sheetFormatPr defaultRowHeight="15" x14ac:dyDescent="0.25"/>
  <cols>
    <col min="1" max="1" width="31.5703125" bestFit="1" customWidth="1"/>
    <col min="2" max="2" width="11.5703125" bestFit="1" customWidth="1"/>
    <col min="3" max="3" width="6" bestFit="1" customWidth="1"/>
    <col min="4" max="4" width="6.5703125" bestFit="1" customWidth="1"/>
  </cols>
  <sheetData>
    <row r="1" spans="1:4" ht="18" x14ac:dyDescent="0.35">
      <c r="A1" s="27" t="s">
        <v>45</v>
      </c>
      <c r="B1" s="29">
        <f>IF((EXACT(Dashboard!C1,Dashboard!B19)),('CS Response Time'!B28),('PQT Response Time'!B23))</f>
        <v>0.2094</v>
      </c>
      <c r="C1" s="27">
        <v>23.5</v>
      </c>
      <c r="D1" s="30">
        <f>B1*C1</f>
        <v>4.9209000000000005</v>
      </c>
    </row>
    <row r="2" spans="1:4" ht="18" x14ac:dyDescent="0.35">
      <c r="A2" s="27" t="s">
        <v>46</v>
      </c>
      <c r="B2" s="29">
        <v>0.3</v>
      </c>
      <c r="C2" s="39">
        <v>2</v>
      </c>
      <c r="D2" s="30">
        <f>B2*C2</f>
        <v>0.6</v>
      </c>
    </row>
    <row r="3" spans="1:4" ht="18" x14ac:dyDescent="0.35">
      <c r="A3" s="27" t="s">
        <v>47</v>
      </c>
      <c r="B3" s="29">
        <v>0.13300000000000001</v>
      </c>
      <c r="C3" s="39">
        <v>14</v>
      </c>
      <c r="D3" s="30">
        <f>B3*C3</f>
        <v>1.8620000000000001</v>
      </c>
    </row>
    <row r="4" spans="1:4" ht="18" x14ac:dyDescent="0.35">
      <c r="A4" s="27" t="s">
        <v>48</v>
      </c>
      <c r="B4" s="29">
        <f>((HEX2DEC(EVENT0!B10)*2^(5*EVENT0!B7))/(1000*EVENT0!B4)*1000)-(SUM(B1:B3))</f>
        <v>372.20760000000001</v>
      </c>
      <c r="C4" s="27">
        <v>1E-3</v>
      </c>
      <c r="D4" s="30">
        <v>1.55500625E-2</v>
      </c>
    </row>
    <row r="5" spans="1:4" x14ac:dyDescent="0.25">
      <c r="A5" s="28" t="s">
        <v>49</v>
      </c>
      <c r="B5" s="28"/>
      <c r="C5" s="28"/>
      <c r="D5" s="32">
        <f>(SUM(D1:D4))/(((HEX2DEC(EVENT0!B10)*2^(5*EVENT0!B7))/(1000*EVENT0!B4)*1000))</f>
        <v>1.9842966507979079E-2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22" sqref="B22"/>
    </sheetView>
  </sheetViews>
  <sheetFormatPr defaultRowHeight="15" x14ac:dyDescent="0.25"/>
  <cols>
    <col min="1" max="1" width="50.42578125" bestFit="1" customWidth="1"/>
    <col min="2" max="2" width="11" bestFit="1" customWidth="1"/>
    <col min="5" max="5" width="9.5703125" bestFit="1" customWidth="1"/>
    <col min="6" max="6" width="12" bestFit="1" customWidth="1"/>
    <col min="8" max="8" width="12" bestFit="1" customWidth="1"/>
  </cols>
  <sheetData>
    <row r="1" spans="1:3" x14ac:dyDescent="0.25">
      <c r="A1" s="15" t="s">
        <v>2</v>
      </c>
      <c r="B1" s="31"/>
    </row>
    <row r="2" spans="1:3" ht="18" x14ac:dyDescent="0.35">
      <c r="A2" s="35" t="s">
        <v>53</v>
      </c>
      <c r="B2" s="17">
        <f>Dashboard!B7</f>
        <v>40</v>
      </c>
      <c r="C2" s="39"/>
    </row>
    <row r="3" spans="1:3" x14ac:dyDescent="0.25">
      <c r="A3" s="35" t="s">
        <v>34</v>
      </c>
      <c r="B3" s="17">
        <f>BIN2DEC(1*SUBSTITUTE(SUBSTITUTE(HEX2BIN(Dashboard!B13)+DEC2BIN(63),1,0),2,1))</f>
        <v>16</v>
      </c>
      <c r="C3" s="39"/>
    </row>
    <row r="4" spans="1:3" x14ac:dyDescent="0.25">
      <c r="A4" s="36" t="s">
        <v>5</v>
      </c>
      <c r="B4" s="17">
        <f>BIN2DEC(1*SUBSTITUTE(SUBSTITUTE(HEX2BIN(Dashboard!B13)+DEC2BIN(192),1,0),2,1))/64</f>
        <v>0</v>
      </c>
      <c r="C4" s="39"/>
    </row>
    <row r="5" spans="1:3" x14ac:dyDescent="0.25">
      <c r="A5" s="36" t="s">
        <v>6</v>
      </c>
      <c r="B5" s="18">
        <f>IF((B4=0),12,(IF((B4=1),24,(IF((B4=2),48,("ERR"))))))</f>
        <v>12</v>
      </c>
      <c r="C5" s="39"/>
    </row>
    <row r="6" spans="1:3" x14ac:dyDescent="0.25">
      <c r="A6" s="36" t="s">
        <v>7</v>
      </c>
      <c r="B6" s="17">
        <f>BIN2DEC(1*SUBSTITUTE(SUBSTITUTE(HEX2BIN(Dashboard!B14)+DEC2BIN(64),1,0),2,1))/64</f>
        <v>1</v>
      </c>
      <c r="C6" s="39"/>
    </row>
    <row r="7" spans="1:3" x14ac:dyDescent="0.25">
      <c r="A7" s="36" t="s">
        <v>8</v>
      </c>
      <c r="B7" s="17">
        <f>BIN2DEC(1*SUBSTITUTE(SUBSTITUTE(HEX2BIN(Dashboard!B14)+DEC2BIN(56),1,0),2,1))/8</f>
        <v>1</v>
      </c>
      <c r="C7" s="39"/>
    </row>
    <row r="8" spans="1:3" x14ac:dyDescent="0.25">
      <c r="A8" s="36" t="s">
        <v>68</v>
      </c>
      <c r="B8" s="17">
        <f>BIN2DEC(1*SUBSTITUTE(SUBSTITUTE(HEX2BIN(Dashboard!B12)+DEC2BIN(16),1,0),2,1))/16</f>
        <v>0</v>
      </c>
      <c r="C8" s="39"/>
    </row>
    <row r="9" spans="1:3" x14ac:dyDescent="0.25">
      <c r="A9" s="36" t="s">
        <v>11</v>
      </c>
      <c r="B9" s="19">
        <f>BIN2DEC(1*SUBSTITUTE(SUBSTITUTE(HEX2BIN(Dashboard!B15)+DEC2BIN(28),1,0),2,1))/4</f>
        <v>7</v>
      </c>
      <c r="C9" s="39"/>
    </row>
    <row r="10" spans="1:3" x14ac:dyDescent="0.25">
      <c r="A10" s="36" t="s">
        <v>56</v>
      </c>
      <c r="B10" s="19">
        <f>BIN2DEC(1*SUBSTITUTE(SUBSTITUTE(HEX2BIN(Dashboard!B18)+DEC2BIN(112),1,0),2,1))/16</f>
        <v>0</v>
      </c>
      <c r="C10" s="39"/>
    </row>
    <row r="11" spans="1:3" x14ac:dyDescent="0.25">
      <c r="A11" s="36" t="s">
        <v>57</v>
      </c>
      <c r="B11" s="18">
        <f>IF(B10=0,11,(IF(B10=1,12,(IF(B10=2,13,(IF(B10=3,15,(IF(B10=4,16,(IF(B10=5,17,(IF(B10=6,24,(32))))))))))))))</f>
        <v>11</v>
      </c>
      <c r="C11" s="39"/>
    </row>
    <row r="12" spans="1:3" x14ac:dyDescent="0.25">
      <c r="A12" s="16" t="s">
        <v>16</v>
      </c>
      <c r="B12" s="19">
        <f>BIN2DEC(1*SUBSTITUTE(SUBSTITUTE(HEX2BIN(Dashboard!B11)+DEC2BIN(128),1,0),2,1))/128</f>
        <v>1</v>
      </c>
      <c r="C12" s="39"/>
    </row>
    <row r="13" spans="1:3" s="27" customFormat="1" x14ac:dyDescent="0.25">
      <c r="A13" s="16" t="s">
        <v>63</v>
      </c>
      <c r="B13" s="19">
        <f>BIN2DEC(1*SUBSTITUTE(SUBSTITUTE(HEX2BIN(Dashboard!B3)+DEC2BIN(240),1,0),2,1))/16</f>
        <v>8</v>
      </c>
      <c r="C13" s="39"/>
    </row>
    <row r="14" spans="1:3" s="27" customFormat="1" x14ac:dyDescent="0.25">
      <c r="A14" s="16" t="s">
        <v>64</v>
      </c>
      <c r="B14" s="19">
        <f>((BIN2DEC(1*SUBSTITUTE(SUBSTITUTE(HEX2BIN(Dashboard!B3)+DEC2BIN(15),1,0),2,1)))*(2^16))+((BIN2DEC(1*SUBSTITUTE(SUBSTITUTE(HEX2BIN(Dashboard!B4)+DEC2BIN(255),1,0),2,1)))*(2^8))+BIN2DEC(1*SUBSTITUTE(SUBSTITUTE(HEX2BIN(Dashboard!B5)+DEC2BIN(255),1,0),2,1))</f>
        <v>1013008</v>
      </c>
      <c r="C14" s="39"/>
    </row>
    <row r="15" spans="1:3" x14ac:dyDescent="0.25">
      <c r="A15" s="15" t="s">
        <v>17</v>
      </c>
      <c r="B15" s="31"/>
    </row>
    <row r="16" spans="1:3" x14ac:dyDescent="0.25">
      <c r="A16" s="16" t="s">
        <v>18</v>
      </c>
      <c r="B16" s="20">
        <f>(8*B5+20)/B2</f>
        <v>2.9</v>
      </c>
    </row>
    <row r="17" spans="1:5" x14ac:dyDescent="0.25">
      <c r="A17" s="16" t="s">
        <v>19</v>
      </c>
      <c r="B17" s="20">
        <f>((1-B6)*(2^((MIN(B7,4))+3)-1)*B5)/B2</f>
        <v>0</v>
      </c>
    </row>
    <row r="18" spans="1:5" x14ac:dyDescent="0.25">
      <c r="A18" s="16" t="s">
        <v>20</v>
      </c>
      <c r="B18" s="20">
        <f>(1*(12*(MAX(B3,1))*B5+6))/B2</f>
        <v>57.75</v>
      </c>
    </row>
    <row r="19" spans="1:5" x14ac:dyDescent="0.25">
      <c r="A19" s="16" t="s">
        <v>21</v>
      </c>
      <c r="B19" s="20">
        <f>(2*B12+(IF(OR(B9=0,B9=4),0,1))*4)/B2</f>
        <v>0.15</v>
      </c>
    </row>
    <row r="20" spans="1:5" x14ac:dyDescent="0.25">
      <c r="A20" s="16" t="s">
        <v>22</v>
      </c>
      <c r="B20" s="20">
        <f>((15*(MAX(B3,1))-2)*B5+6)/B2</f>
        <v>71.55</v>
      </c>
    </row>
    <row r="21" spans="1:5" x14ac:dyDescent="0.25">
      <c r="A21" s="37" t="str">
        <f>IF(B3&gt;1,("T0 = D0 + D1 + D2 + D3 + D4"), ("T0 = D0 + D1 + D2 + D3 "))</f>
        <v>T0 = D0 + D1 + D2 + D3 + D4</v>
      </c>
      <c r="B21" s="21">
        <f>IF(B3&gt;1,(B16+B17+B18+B19+B20), (B16+B17+B18+B19))</f>
        <v>132.35</v>
      </c>
    </row>
    <row r="22" spans="1:5" x14ac:dyDescent="0.25">
      <c r="A22" s="37" t="s">
        <v>23</v>
      </c>
      <c r="B22" s="21">
        <f>IF((B13&gt;0),((((B5*B3*((FLOOR((((2^39)*B11*(2*B8+2))/(((2^20)+B14)*(2^B13)*B5*B3)),1))+1))/(2*B8+2)+56)/(B2))),(((B5*B3*((FLOOR((((2^38)*B11*(2*B8+2))/(B14*B5*B3)),1))+1))/(2*B8+2)+56)/(B2)))</f>
        <v>289.39999999999998</v>
      </c>
    </row>
    <row r="23" spans="1:5" x14ac:dyDescent="0.25">
      <c r="A23" s="38" t="s">
        <v>55</v>
      </c>
      <c r="B23" s="22">
        <f>(B21+B22)/1000</f>
        <v>0.42175000000000001</v>
      </c>
      <c r="E23" s="48"/>
    </row>
  </sheetData>
  <hyperlinks>
    <hyperlink ref="A6" location="DCFILT_CFG" display="DCFILT_CFG"/>
    <hyperlink ref="A7" location="DCFILT_CFG" display="DCFILT_CFG"/>
    <hyperlink ref="A8" location="AGC_CFG0" display="AGC_CFG0"/>
    <hyperlink ref="A9" location="IF_MIX_CFG" display="IF_MIX_CFG"/>
    <hyperlink ref="A10" location="AGC_CFG1" display="AGC_CFG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Dashboard</vt:lpstr>
      <vt:lpstr>EVENT0</vt:lpstr>
      <vt:lpstr>CS Response Time</vt:lpstr>
      <vt:lpstr>Calculations</vt:lpstr>
      <vt:lpstr>PQT Response Time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A. Brinkmann</dc:creator>
  <cp:lastModifiedBy>Johnsrud, Siri</cp:lastModifiedBy>
  <cp:lastPrinted>2013-05-08T11:28:48Z</cp:lastPrinted>
  <dcterms:created xsi:type="dcterms:W3CDTF">2013-05-03T07:24:31Z</dcterms:created>
  <dcterms:modified xsi:type="dcterms:W3CDTF">2013-10-10T06:23:33Z</dcterms:modified>
</cp:coreProperties>
</file>