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4755" windowHeight="6600" tabRatio="702" activeTab="3"/>
  </bookViews>
  <sheets>
    <sheet name="Analog Front-End Simulation" sheetId="1" r:id="rId1"/>
    <sheet name="DAC Simulation" sheetId="2" r:id="rId2"/>
    <sheet name="Reference Simulation" sheetId="3" r:id="rId3"/>
    <sheet name="TUE Calculations" sheetId="4" r:id="rId4"/>
  </sheets>
  <calcPr calcId="145621"/>
</workbook>
</file>

<file path=xl/calcChain.xml><?xml version="1.0" encoding="utf-8"?>
<calcChain xmlns="http://schemas.openxmlformats.org/spreadsheetml/2006/main">
  <c r="B12" i="2" l="1"/>
  <c r="F3" i="2" l="1"/>
  <c r="F4" i="1"/>
  <c r="F5" i="1"/>
  <c r="F6" i="1"/>
  <c r="F7" i="1"/>
  <c r="F41" i="1" s="1"/>
  <c r="F42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3" i="1"/>
  <c r="B4" i="2"/>
  <c r="E10" i="4" l="1"/>
  <c r="E9" i="4"/>
  <c r="E8" i="4"/>
  <c r="G42" i="3"/>
  <c r="H42" i="3" s="1"/>
  <c r="G41" i="3"/>
  <c r="H41" i="3" s="1"/>
  <c r="D5" i="4"/>
  <c r="C5" i="4"/>
  <c r="B5" i="4"/>
  <c r="F42" i="3"/>
  <c r="F41" i="3"/>
  <c r="E42" i="3"/>
  <c r="E41" i="3"/>
  <c r="D42" i="3"/>
  <c r="D41" i="3"/>
  <c r="B52" i="3"/>
  <c r="B51" i="3"/>
  <c r="B57" i="3"/>
  <c r="C4" i="3"/>
  <c r="C25" i="3" s="1"/>
  <c r="C26" i="3" s="1"/>
  <c r="C27" i="3" s="1"/>
  <c r="C35" i="3" s="1"/>
  <c r="C36" i="3" s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3" i="3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B14" i="2"/>
  <c r="B13" i="2"/>
  <c r="E3" i="2"/>
  <c r="G3" i="2"/>
  <c r="H3" i="2" s="1"/>
  <c r="D3" i="2"/>
  <c r="B6" i="2"/>
  <c r="B15" i="2" l="1"/>
  <c r="I3" i="2" s="1"/>
  <c r="B17" i="2"/>
  <c r="E12" i="4"/>
  <c r="E7" i="4"/>
  <c r="C37" i="3"/>
  <c r="B46" i="3" s="1"/>
  <c r="C38" i="3"/>
  <c r="B47" i="3"/>
  <c r="B5" i="2"/>
  <c r="B49" i="3" l="1"/>
  <c r="B48" i="3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E3" i="1" s="1"/>
  <c r="B43" i="1"/>
  <c r="B45" i="1" s="1"/>
  <c r="E11" i="1" l="1"/>
  <c r="E7" i="1"/>
  <c r="E14" i="1"/>
  <c r="E10" i="1"/>
  <c r="E6" i="1"/>
  <c r="E21" i="1"/>
  <c r="E17" i="1"/>
  <c r="E13" i="1"/>
  <c r="E9" i="1"/>
  <c r="E5" i="1"/>
  <c r="E19" i="1"/>
  <c r="E15" i="1"/>
  <c r="E22" i="1"/>
  <c r="E18" i="1"/>
  <c r="E20" i="1"/>
  <c r="E16" i="1"/>
  <c r="E12" i="1"/>
  <c r="E8" i="1"/>
  <c r="E4" i="1"/>
  <c r="B44" i="1"/>
  <c r="G37" i="1" s="1"/>
  <c r="H37" i="1" s="1"/>
  <c r="I37" i="1" s="1"/>
  <c r="G6" i="1" l="1"/>
  <c r="G13" i="1"/>
  <c r="H13" i="1" s="1"/>
  <c r="I13" i="1" s="1"/>
  <c r="E41" i="1"/>
  <c r="E42" i="1" s="1"/>
  <c r="G20" i="1"/>
  <c r="G35" i="1"/>
  <c r="H35" i="1" s="1"/>
  <c r="I35" i="1" s="1"/>
  <c r="G33" i="1"/>
  <c r="H33" i="1" s="1"/>
  <c r="I33" i="1" s="1"/>
  <c r="G28" i="1"/>
  <c r="H28" i="1" s="1"/>
  <c r="I28" i="1" s="1"/>
  <c r="G15" i="1"/>
  <c r="G4" i="1"/>
  <c r="G22" i="1"/>
  <c r="G16" i="1"/>
  <c r="G40" i="1"/>
  <c r="H40" i="1" s="1"/>
  <c r="I40" i="1" s="1"/>
  <c r="G25" i="1"/>
  <c r="H25" i="1" s="1"/>
  <c r="I25" i="1" s="1"/>
  <c r="G11" i="1"/>
  <c r="H11" i="1" s="1"/>
  <c r="I11" i="1" s="1"/>
  <c r="G31" i="1"/>
  <c r="H31" i="1" s="1"/>
  <c r="I31" i="1" s="1"/>
  <c r="G18" i="1"/>
  <c r="H18" i="1" s="1"/>
  <c r="I18" i="1" s="1"/>
  <c r="G38" i="1"/>
  <c r="H38" i="1" s="1"/>
  <c r="I38" i="1" s="1"/>
  <c r="G23" i="1"/>
  <c r="H23" i="1" s="1"/>
  <c r="I23" i="1" s="1"/>
  <c r="G9" i="1"/>
  <c r="G29" i="1"/>
  <c r="H29" i="1" s="1"/>
  <c r="I29" i="1" s="1"/>
  <c r="G12" i="1"/>
  <c r="G36" i="1"/>
  <c r="H36" i="1" s="1"/>
  <c r="I36" i="1" s="1"/>
  <c r="G3" i="1"/>
  <c r="G7" i="1"/>
  <c r="H7" i="1" s="1"/>
  <c r="I7" i="1" s="1"/>
  <c r="G27" i="1"/>
  <c r="H27" i="1" s="1"/>
  <c r="I27" i="1" s="1"/>
  <c r="G14" i="1"/>
  <c r="H14" i="1" s="1"/>
  <c r="I14" i="1" s="1"/>
  <c r="G34" i="1"/>
  <c r="H34" i="1" s="1"/>
  <c r="I34" i="1" s="1"/>
  <c r="G21" i="1"/>
  <c r="G5" i="1"/>
  <c r="G26" i="1"/>
  <c r="H26" i="1" s="1"/>
  <c r="I26" i="1" s="1"/>
  <c r="G8" i="1"/>
  <c r="G32" i="1"/>
  <c r="H32" i="1" s="1"/>
  <c r="I32" i="1" s="1"/>
  <c r="G19" i="1"/>
  <c r="G39" i="1"/>
  <c r="H39" i="1" s="1"/>
  <c r="I39" i="1" s="1"/>
  <c r="G24" i="1"/>
  <c r="H24" i="1" s="1"/>
  <c r="I24" i="1" s="1"/>
  <c r="G10" i="1"/>
  <c r="G30" i="1"/>
  <c r="H30" i="1" s="1"/>
  <c r="I30" i="1" s="1"/>
  <c r="G17" i="1"/>
  <c r="H17" i="1" s="1"/>
  <c r="I17" i="1" s="1"/>
  <c r="H5" i="1"/>
  <c r="I5" i="1" s="1"/>
  <c r="H9" i="1"/>
  <c r="I9" i="1" s="1"/>
  <c r="H21" i="1"/>
  <c r="I21" i="1" s="1"/>
  <c r="H15" i="1"/>
  <c r="I15" i="1" s="1"/>
  <c r="H19" i="1"/>
  <c r="I19" i="1" s="1"/>
  <c r="H20" i="1"/>
  <c r="I20" i="1" s="1"/>
  <c r="H8" i="1"/>
  <c r="I8" i="1" s="1"/>
  <c r="H6" i="1"/>
  <c r="I6" i="1" s="1"/>
  <c r="H22" i="1"/>
  <c r="I22" i="1" s="1"/>
  <c r="H12" i="1"/>
  <c r="I12" i="1" s="1"/>
  <c r="H10" i="1"/>
  <c r="I10" i="1" s="1"/>
  <c r="H4" i="1"/>
  <c r="I4" i="1" s="1"/>
  <c r="H16" i="1"/>
  <c r="I16" i="1" s="1"/>
  <c r="G41" i="1" l="1"/>
  <c r="H41" i="1" s="1"/>
  <c r="H3" i="1"/>
  <c r="I3" i="1" s="1"/>
  <c r="G42" i="1" l="1"/>
  <c r="I42" i="1" s="1"/>
</calcChain>
</file>

<file path=xl/sharedStrings.xml><?xml version="1.0" encoding="utf-8"?>
<sst xmlns="http://schemas.openxmlformats.org/spreadsheetml/2006/main" count="76" uniqueCount="57">
  <si>
    <t>Low Code</t>
  </si>
  <si>
    <t>High Code</t>
  </si>
  <si>
    <t>Offset Error</t>
  </si>
  <si>
    <t>Gain Error</t>
  </si>
  <si>
    <t>Ideal LSB</t>
  </si>
  <si>
    <t>Ideal Value @ High Code</t>
  </si>
  <si>
    <t>Ideal Value @ Low Code</t>
  </si>
  <si>
    <t>Measured LSB</t>
  </si>
  <si>
    <t>Measured Value @ Low Code (mA)</t>
  </si>
  <si>
    <t>Measured Value @ High Code (mA)</t>
  </si>
  <si>
    <t>Offset Error (mA)</t>
  </si>
  <si>
    <t>Measured LSB (mA)</t>
  </si>
  <si>
    <t>Offset Error (%FSR)</t>
  </si>
  <si>
    <t>Gain Error (%FSR)</t>
  </si>
  <si>
    <t>Offset Error (ABS %FSR)</t>
  </si>
  <si>
    <t>Gain Error (ABS %FSR)</t>
  </si>
  <si>
    <t>TUE (%FSR)</t>
  </si>
  <si>
    <t>STD DEV</t>
  </si>
  <si>
    <t>Analog Front-End Simulation Results (OPA317, Diode Bridge, Resistor Monte Carlo Analysis)</t>
  </si>
  <si>
    <t>DAC Simulation</t>
  </si>
  <si>
    <t>INL ERROR</t>
  </si>
  <si>
    <t>DAC Output Current Gain</t>
  </si>
  <si>
    <t>Total Deviation (V)</t>
  </si>
  <si>
    <t>High Deviation</t>
  </si>
  <si>
    <t>Low Deviation</t>
  </si>
  <si>
    <t>Low Code (30)</t>
  </si>
  <si>
    <t>High Code (4050)</t>
  </si>
  <si>
    <t>Vout (30, High)</t>
  </si>
  <si>
    <t>Vout (4050, High)</t>
  </si>
  <si>
    <t>Vout (30, Low)</t>
  </si>
  <si>
    <t>vout (30, Low)</t>
  </si>
  <si>
    <t>Deviation High</t>
  </si>
  <si>
    <t>Deviation Low</t>
  </si>
  <si>
    <t>Offset</t>
  </si>
  <si>
    <t>TUE</t>
  </si>
  <si>
    <t>VREG Supply</t>
  </si>
  <si>
    <t>VREG Error</t>
  </si>
  <si>
    <t>Error Due to Resistor Mismatch</t>
  </si>
  <si>
    <t>STDDEV</t>
  </si>
  <si>
    <t>6SIG</t>
  </si>
  <si>
    <t>6 SIG</t>
  </si>
  <si>
    <t>%FSR</t>
  </si>
  <si>
    <t>Total Deviation (%FSR)</t>
  </si>
  <si>
    <t>TL431B Tolerance (%)</t>
  </si>
  <si>
    <t>TL431B Nominal (V)</t>
  </si>
  <si>
    <t>Linearity Error</t>
  </si>
  <si>
    <t>AFE</t>
  </si>
  <si>
    <t>DAC</t>
  </si>
  <si>
    <t>VREG</t>
  </si>
  <si>
    <t>Total</t>
  </si>
  <si>
    <t>System TUE</t>
  </si>
  <si>
    <t>AFE TUE</t>
  </si>
  <si>
    <t>DAC TUE</t>
  </si>
  <si>
    <t>VREG TUE</t>
  </si>
  <si>
    <t>AFE+DAC TUE</t>
  </si>
  <si>
    <t>DAC Output Current INL Error</t>
  </si>
  <si>
    <t>Output Current INL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</si>
</sst>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6" xfId="0" applyFill="1" applyBorder="1"/>
    <xf numFmtId="0" fontId="0" fillId="2" borderId="7" xfId="0" applyFill="1" applyBorder="1"/>
    <xf numFmtId="0" fontId="0" fillId="0" borderId="0" xfId="0" applyBorder="1"/>
    <xf numFmtId="0" fontId="0" fillId="0" borderId="2" xfId="0" applyBorder="1"/>
    <xf numFmtId="0" fontId="0" fillId="0" borderId="14" xfId="0" applyBorder="1"/>
    <xf numFmtId="0" fontId="0" fillId="0" borderId="15" xfId="0" applyBorder="1"/>
    <xf numFmtId="0" fontId="0" fillId="0" borderId="5" xfId="0" applyBorder="1"/>
    <xf numFmtId="0" fontId="0" fillId="0" borderId="16" xfId="0" applyBorder="1"/>
    <xf numFmtId="0" fontId="0" fillId="0" borderId="1" xfId="0" applyFill="1" applyBorder="1"/>
    <xf numFmtId="0" fontId="0" fillId="0" borderId="0" xfId="0" applyFill="1" applyBorder="1"/>
    <xf numFmtId="0" fontId="0" fillId="0" borderId="0" xfId="0" applyFill="1" applyBorder="1" applyAlignment="1"/>
    <xf numFmtId="10" fontId="0" fillId="0" borderId="0" xfId="0" applyNumberFormat="1" applyFill="1" applyBorder="1"/>
    <xf numFmtId="0" fontId="0" fillId="0" borderId="0" xfId="0" applyFont="1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18" xfId="0" applyFill="1" applyBorder="1"/>
    <xf numFmtId="0" fontId="0" fillId="0" borderId="18" xfId="0" applyNumberFormat="1" applyFill="1" applyBorder="1"/>
    <xf numFmtId="11" fontId="0" fillId="0" borderId="0" xfId="0" applyNumberFormat="1"/>
    <xf numFmtId="0" fontId="0" fillId="3" borderId="6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C1" workbookViewId="0">
      <selection activeCell="F46" sqref="F46"/>
    </sheetView>
  </sheetViews>
  <sheetFormatPr defaultRowHeight="15" x14ac:dyDescent="0.25"/>
  <cols>
    <col min="1" max="1" width="23.140625" bestFit="1" customWidth="1"/>
    <col min="2" max="2" width="32.28515625" bestFit="1" customWidth="1"/>
    <col min="3" max="3" width="32.7109375" bestFit="1" customWidth="1"/>
    <col min="4" max="4" width="18.42578125" bestFit="1" customWidth="1"/>
    <col min="5" max="5" width="16.28515625" bestFit="1" customWidth="1"/>
    <col min="6" max="6" width="22.140625" bestFit="1" customWidth="1"/>
    <col min="7" max="7" width="16.42578125" bestFit="1" customWidth="1"/>
    <col min="8" max="8" width="20.42578125" bestFit="1" customWidth="1"/>
    <col min="9" max="9" width="12" bestFit="1" customWidth="1"/>
  </cols>
  <sheetData>
    <row r="1" spans="1:9" ht="15.75" thickBot="1" x14ac:dyDescent="0.3">
      <c r="A1" s="10"/>
      <c r="B1" s="37" t="s">
        <v>18</v>
      </c>
      <c r="C1" s="37"/>
      <c r="D1" s="37"/>
      <c r="E1" s="37"/>
      <c r="F1" s="37"/>
      <c r="G1" s="37"/>
      <c r="H1" s="37"/>
      <c r="I1" s="38"/>
    </row>
    <row r="2" spans="1:9" ht="15.75" thickBot="1" x14ac:dyDescent="0.3">
      <c r="A2" s="10"/>
      <c r="B2" s="11" t="s">
        <v>8</v>
      </c>
      <c r="C2" s="11" t="s">
        <v>9</v>
      </c>
      <c r="D2" s="11" t="s">
        <v>11</v>
      </c>
      <c r="E2" s="11" t="s">
        <v>10</v>
      </c>
      <c r="F2" s="11" t="s">
        <v>14</v>
      </c>
      <c r="G2" s="11" t="s">
        <v>13</v>
      </c>
      <c r="H2" s="11" t="s">
        <v>15</v>
      </c>
      <c r="I2" s="12" t="s">
        <v>16</v>
      </c>
    </row>
    <row r="3" spans="1:9" ht="15.75" thickBot="1" x14ac:dyDescent="0.3">
      <c r="A3" s="16"/>
      <c r="B3" s="2">
        <v>4.1185349999999996</v>
      </c>
      <c r="C3" s="2">
        <v>19.822451999999998</v>
      </c>
      <c r="D3" s="2">
        <f t="shared" ref="D3:D40" si="0">(C3-B3)/($B$47-$B$46)</f>
        <v>3.906447014925373E-3</v>
      </c>
      <c r="E3" s="2">
        <f t="shared" ref="E3:E40" si="1">B3-(D3*$B$46)-4</f>
        <v>1.341589552238176E-3</v>
      </c>
      <c r="F3" s="2">
        <f>(E3/16)*100</f>
        <v>8.3849347014886E-3</v>
      </c>
      <c r="G3" s="2">
        <f>ABS(((C3-B3)-($B$45-$B$44))/16*100)</f>
        <v>4.9499999999924604E-3</v>
      </c>
      <c r="H3" s="2">
        <f>ABS(G3)</f>
        <v>4.9499999999924604E-3</v>
      </c>
      <c r="I3" s="3">
        <f>H3+F3</f>
        <v>1.333493470148106E-2</v>
      </c>
    </row>
    <row r="4" spans="1:9" ht="15.75" thickBot="1" x14ac:dyDescent="0.3">
      <c r="A4" s="17"/>
      <c r="B4" s="1">
        <v>4.1173719999999996</v>
      </c>
      <c r="C4" s="1">
        <v>19.8172</v>
      </c>
      <c r="D4" s="1">
        <f t="shared" si="0"/>
        <v>3.9054298507462688E-3</v>
      </c>
      <c r="E4" s="1">
        <f t="shared" si="1"/>
        <v>2.0910447761135487E-4</v>
      </c>
      <c r="F4" s="2">
        <f t="shared" ref="F4:F40" si="2">(E4/16)*100</f>
        <v>1.3069029850709679E-3</v>
      </c>
      <c r="G4" s="1">
        <f t="shared" ref="G4:G40" si="3">((C4-B4)-($B$45-$B$44))/16*100</f>
        <v>-2.0606249999999271E-2</v>
      </c>
      <c r="H4" s="1">
        <f t="shared" ref="H4:H41" si="4">ABS(G4)</f>
        <v>2.0606249999999271E-2</v>
      </c>
      <c r="I4" s="18">
        <f t="shared" ref="I4:I40" si="5">H4+F4</f>
        <v>2.1913152985070239E-2</v>
      </c>
    </row>
    <row r="5" spans="1:9" ht="15.75" thickBot="1" x14ac:dyDescent="0.3">
      <c r="A5" s="17"/>
      <c r="B5" s="1">
        <v>4.1175249999999997</v>
      </c>
      <c r="C5" s="1">
        <v>19.814762999999999</v>
      </c>
      <c r="D5" s="1">
        <f t="shared" si="0"/>
        <v>3.904785572139303E-3</v>
      </c>
      <c r="E5" s="1">
        <f t="shared" si="1"/>
        <v>3.8143283582048326E-4</v>
      </c>
      <c r="F5" s="2">
        <f t="shared" si="2"/>
        <v>2.3839552238780204E-3</v>
      </c>
      <c r="G5" s="1">
        <f t="shared" si="3"/>
        <v>-3.6793750000008174E-2</v>
      </c>
      <c r="H5" s="1">
        <f t="shared" si="4"/>
        <v>3.6793750000008174E-2</v>
      </c>
      <c r="I5" s="18">
        <f t="shared" si="5"/>
        <v>3.9177705223886194E-2</v>
      </c>
    </row>
    <row r="6" spans="1:9" ht="15.75" thickBot="1" x14ac:dyDescent="0.3">
      <c r="A6" s="17"/>
      <c r="B6" s="1">
        <v>4.1189309999999999</v>
      </c>
      <c r="C6" s="1">
        <v>19.826881</v>
      </c>
      <c r="D6" s="1">
        <f t="shared" si="0"/>
        <v>3.9074502487562186E-3</v>
      </c>
      <c r="E6" s="1">
        <f t="shared" si="1"/>
        <v>1.7074925373137262E-3</v>
      </c>
      <c r="F6" s="2">
        <f t="shared" si="2"/>
        <v>1.0671828358210789E-2</v>
      </c>
      <c r="G6" s="1">
        <f t="shared" si="3"/>
        <v>3.0156250000001883E-2</v>
      </c>
      <c r="H6" s="1">
        <f t="shared" si="4"/>
        <v>3.0156250000001883E-2</v>
      </c>
      <c r="I6" s="18">
        <f t="shared" si="5"/>
        <v>4.0828078358212672E-2</v>
      </c>
    </row>
    <row r="7" spans="1:9" ht="15.75" thickBot="1" x14ac:dyDescent="0.3">
      <c r="A7" s="17"/>
      <c r="B7" s="1">
        <v>4.1173159999999998</v>
      </c>
      <c r="C7" s="1">
        <v>19.815358</v>
      </c>
      <c r="D7" s="1">
        <f t="shared" si="0"/>
        <v>3.9049855721393035E-3</v>
      </c>
      <c r="E7" s="1">
        <f t="shared" si="1"/>
        <v>1.6643283582062907E-4</v>
      </c>
      <c r="F7" s="2">
        <f t="shared" si="2"/>
        <v>1.0402052238789317E-3</v>
      </c>
      <c r="G7" s="1">
        <f t="shared" si="3"/>
        <v>-3.1768749999994128E-2</v>
      </c>
      <c r="H7" s="1">
        <f t="shared" si="4"/>
        <v>3.1768749999994128E-2</v>
      </c>
      <c r="I7" s="18">
        <f t="shared" si="5"/>
        <v>3.280895522387306E-2</v>
      </c>
    </row>
    <row r="8" spans="1:9" ht="15.75" thickBot="1" x14ac:dyDescent="0.3">
      <c r="A8" s="17"/>
      <c r="B8" s="1">
        <v>4.1189720000000003</v>
      </c>
      <c r="C8" s="1">
        <v>19.829004000000001</v>
      </c>
      <c r="D8" s="1">
        <f t="shared" si="0"/>
        <v>3.9079681592039802E-3</v>
      </c>
      <c r="E8" s="1">
        <f t="shared" si="1"/>
        <v>1.7329552238809498E-3</v>
      </c>
      <c r="F8" s="2">
        <f t="shared" si="2"/>
        <v>1.0830970149255936E-2</v>
      </c>
      <c r="G8" s="1">
        <f t="shared" si="3"/>
        <v>4.316875000001108E-2</v>
      </c>
      <c r="H8" s="1">
        <f t="shared" si="4"/>
        <v>4.316875000001108E-2</v>
      </c>
      <c r="I8" s="18">
        <f t="shared" si="5"/>
        <v>5.3999720149267016E-2</v>
      </c>
    </row>
    <row r="9" spans="1:9" ht="15.75" thickBot="1" x14ac:dyDescent="0.3">
      <c r="A9" s="17"/>
      <c r="B9" s="1">
        <v>4.1169760000000002</v>
      </c>
      <c r="C9" s="1">
        <v>19.821190000000001</v>
      </c>
      <c r="D9" s="1">
        <f t="shared" si="0"/>
        <v>3.9065208955223881E-3</v>
      </c>
      <c r="E9" s="1">
        <f t="shared" si="1"/>
        <v>-2.1962686567134071E-4</v>
      </c>
      <c r="F9" s="2">
        <f t="shared" si="2"/>
        <v>-1.3726679104458794E-3</v>
      </c>
      <c r="G9" s="1">
        <f t="shared" si="3"/>
        <v>6.8062500000021231E-3</v>
      </c>
      <c r="H9" s="1">
        <f t="shared" si="4"/>
        <v>6.8062500000021231E-3</v>
      </c>
      <c r="I9" s="18">
        <f t="shared" si="5"/>
        <v>5.4335820895562437E-3</v>
      </c>
    </row>
    <row r="10" spans="1:9" ht="15.75" thickBot="1" x14ac:dyDescent="0.3">
      <c r="A10" s="17"/>
      <c r="B10" s="1">
        <v>4.1166179999999999</v>
      </c>
      <c r="C10" s="1">
        <v>19.817630999999999</v>
      </c>
      <c r="D10" s="1">
        <f t="shared" si="0"/>
        <v>3.9057246268656715E-3</v>
      </c>
      <c r="E10" s="1">
        <f t="shared" si="1"/>
        <v>-5.5373880597020531E-4</v>
      </c>
      <c r="F10" s="2">
        <f t="shared" si="2"/>
        <v>-3.4608675373137832E-3</v>
      </c>
      <c r="G10" s="1">
        <f t="shared" si="3"/>
        <v>-1.3200000000002099E-2</v>
      </c>
      <c r="H10" s="1">
        <f t="shared" si="4"/>
        <v>1.3200000000002099E-2</v>
      </c>
      <c r="I10" s="18">
        <f t="shared" si="5"/>
        <v>9.7391324626883158E-3</v>
      </c>
    </row>
    <row r="11" spans="1:9" ht="15.75" thickBot="1" x14ac:dyDescent="0.3">
      <c r="A11" s="17"/>
      <c r="B11" s="1">
        <v>4.119415</v>
      </c>
      <c r="C11" s="1">
        <v>19.825574</v>
      </c>
      <c r="D11" s="1">
        <f t="shared" si="0"/>
        <v>3.9070047263681587E-3</v>
      </c>
      <c r="E11" s="1">
        <f t="shared" si="1"/>
        <v>2.2048582089553292E-3</v>
      </c>
      <c r="F11" s="2">
        <f t="shared" si="2"/>
        <v>1.3780363805970808E-2</v>
      </c>
      <c r="G11" s="1">
        <f t="shared" si="3"/>
        <v>1.8962499999997107E-2</v>
      </c>
      <c r="H11" s="1">
        <f t="shared" si="4"/>
        <v>1.8962499999997107E-2</v>
      </c>
      <c r="I11" s="18">
        <f t="shared" si="5"/>
        <v>3.2742863805967914E-2</v>
      </c>
    </row>
    <row r="12" spans="1:9" ht="15.75" thickBot="1" x14ac:dyDescent="0.3">
      <c r="A12" s="17"/>
      <c r="B12" s="1">
        <v>4.1166830000000001</v>
      </c>
      <c r="C12" s="1">
        <v>19.818624</v>
      </c>
      <c r="D12" s="1">
        <f t="shared" si="0"/>
        <v>3.905955472636816E-3</v>
      </c>
      <c r="E12" s="1">
        <f t="shared" si="1"/>
        <v>-4.9566417910451577E-4</v>
      </c>
      <c r="F12" s="2">
        <f t="shared" si="2"/>
        <v>-3.0979011194032235E-3</v>
      </c>
      <c r="G12" s="1">
        <f t="shared" si="3"/>
        <v>-7.4000000000018495E-3</v>
      </c>
      <c r="H12" s="1">
        <f t="shared" si="4"/>
        <v>7.4000000000018495E-3</v>
      </c>
      <c r="I12" s="18">
        <f t="shared" si="5"/>
        <v>4.302098880598626E-3</v>
      </c>
    </row>
    <row r="13" spans="1:9" ht="15.75" thickBot="1" x14ac:dyDescent="0.3">
      <c r="A13" s="17"/>
      <c r="B13" s="1">
        <v>4.121086</v>
      </c>
      <c r="C13" s="1">
        <v>19.829751999999999</v>
      </c>
      <c r="D13" s="1">
        <f t="shared" si="0"/>
        <v>3.9076283582089553E-3</v>
      </c>
      <c r="E13" s="1">
        <f t="shared" si="1"/>
        <v>3.8571492537311514E-3</v>
      </c>
      <c r="F13" s="2">
        <f t="shared" si="2"/>
        <v>2.4107182835819696E-2</v>
      </c>
      <c r="G13" s="1">
        <f t="shared" si="3"/>
        <v>3.4631249999994562E-2</v>
      </c>
      <c r="H13" s="1">
        <f t="shared" si="4"/>
        <v>3.4631249999994562E-2</v>
      </c>
      <c r="I13" s="18">
        <f t="shared" si="5"/>
        <v>5.8738432835814258E-2</v>
      </c>
    </row>
    <row r="14" spans="1:9" ht="15.75" thickBot="1" x14ac:dyDescent="0.3">
      <c r="A14" s="17"/>
      <c r="B14" s="1">
        <v>4.1191750000000003</v>
      </c>
      <c r="C14" s="1">
        <v>19.8279</v>
      </c>
      <c r="D14" s="1">
        <f t="shared" si="0"/>
        <v>3.9076430348258702E-3</v>
      </c>
      <c r="E14" s="1">
        <f t="shared" si="1"/>
        <v>1.94570895522439E-3</v>
      </c>
      <c r="F14" s="2">
        <f t="shared" si="2"/>
        <v>1.2160680970152438E-2</v>
      </c>
      <c r="G14" s="1">
        <f t="shared" si="3"/>
        <v>3.4999999999996145E-2</v>
      </c>
      <c r="H14" s="1">
        <f t="shared" si="4"/>
        <v>3.4999999999996145E-2</v>
      </c>
      <c r="I14" s="18">
        <f t="shared" si="5"/>
        <v>4.7160680970148583E-2</v>
      </c>
    </row>
    <row r="15" spans="1:9" ht="15.75" thickBot="1" x14ac:dyDescent="0.3">
      <c r="A15" s="17"/>
      <c r="B15" s="1">
        <v>4.1184450000000004</v>
      </c>
      <c r="C15" s="1">
        <v>19.828208</v>
      </c>
      <c r="D15" s="1">
        <f t="shared" si="0"/>
        <v>3.9079012437810944E-3</v>
      </c>
      <c r="E15" s="1">
        <f t="shared" si="1"/>
        <v>1.207962686567754E-3</v>
      </c>
      <c r="F15" s="2">
        <f t="shared" si="2"/>
        <v>7.5497667910484623E-3</v>
      </c>
      <c r="G15" s="1">
        <f t="shared" si="3"/>
        <v>4.1487499999992572E-2</v>
      </c>
      <c r="H15" s="1">
        <f t="shared" si="4"/>
        <v>4.1487499999992572E-2</v>
      </c>
      <c r="I15" s="18">
        <f t="shared" si="5"/>
        <v>4.9037266791041034E-2</v>
      </c>
    </row>
    <row r="16" spans="1:9" ht="15.75" thickBot="1" x14ac:dyDescent="0.3">
      <c r="A16" s="17"/>
      <c r="B16" s="1">
        <v>4.1178309999999998</v>
      </c>
      <c r="C16" s="1">
        <v>19.824145000000001</v>
      </c>
      <c r="D16" s="1">
        <f t="shared" si="0"/>
        <v>3.9070432835820899E-3</v>
      </c>
      <c r="E16" s="1">
        <f t="shared" si="1"/>
        <v>6.1970149253731677E-4</v>
      </c>
      <c r="F16" s="2">
        <f t="shared" si="2"/>
        <v>3.8731343283582298E-3</v>
      </c>
      <c r="G16" s="1">
        <f t="shared" si="3"/>
        <v>1.9931250000015943E-2</v>
      </c>
      <c r="H16" s="1">
        <f t="shared" si="4"/>
        <v>1.9931250000015943E-2</v>
      </c>
      <c r="I16" s="18">
        <f t="shared" si="5"/>
        <v>2.3804384328374173E-2</v>
      </c>
    </row>
    <row r="17" spans="1:9" ht="15.75" thickBot="1" x14ac:dyDescent="0.3">
      <c r="A17" s="17"/>
      <c r="B17" s="1">
        <v>4.1182999999999996</v>
      </c>
      <c r="C17" s="1">
        <v>19.823167999999999</v>
      </c>
      <c r="D17" s="1">
        <f t="shared" si="0"/>
        <v>3.9066835820895521E-3</v>
      </c>
      <c r="E17" s="1">
        <f t="shared" si="1"/>
        <v>1.0994925373131181E-3</v>
      </c>
      <c r="F17" s="2">
        <f t="shared" si="2"/>
        <v>6.8718283582069883E-3</v>
      </c>
      <c r="G17" s="1">
        <f t="shared" si="3"/>
        <v>1.089374999999615E-2</v>
      </c>
      <c r="H17" s="1">
        <f t="shared" si="4"/>
        <v>1.089374999999615E-2</v>
      </c>
      <c r="I17" s="18">
        <f t="shared" si="5"/>
        <v>1.7765578358203138E-2</v>
      </c>
    </row>
    <row r="18" spans="1:9" ht="15.75" thickBot="1" x14ac:dyDescent="0.3">
      <c r="A18" s="17"/>
      <c r="B18" s="1">
        <v>4.1201800000000004</v>
      </c>
      <c r="C18" s="21">
        <v>19.831225</v>
      </c>
      <c r="D18" s="1">
        <f t="shared" si="0"/>
        <v>3.9082201492537313E-3</v>
      </c>
      <c r="E18" s="1">
        <f t="shared" si="1"/>
        <v>2.9333955223886932E-3</v>
      </c>
      <c r="F18" s="2">
        <f t="shared" si="2"/>
        <v>1.8333722014929332E-2</v>
      </c>
      <c r="G18" s="1">
        <f t="shared" si="3"/>
        <v>4.9499999999991218E-2</v>
      </c>
      <c r="H18" s="1">
        <f t="shared" si="4"/>
        <v>4.9499999999991218E-2</v>
      </c>
      <c r="I18" s="18">
        <f t="shared" si="5"/>
        <v>6.783372201492055E-2</v>
      </c>
    </row>
    <row r="19" spans="1:9" ht="15.75" thickBot="1" x14ac:dyDescent="0.3">
      <c r="A19" s="17"/>
      <c r="B19" s="1">
        <v>4.1173010000000003</v>
      </c>
      <c r="C19" s="1">
        <v>19.820557000000001</v>
      </c>
      <c r="D19" s="1">
        <f t="shared" si="0"/>
        <v>3.9062825870646769E-3</v>
      </c>
      <c r="E19" s="1">
        <f t="shared" si="1"/>
        <v>1.1252238805958825E-4</v>
      </c>
      <c r="F19" s="2">
        <f t="shared" si="2"/>
        <v>7.0326492537242657E-4</v>
      </c>
      <c r="G19" s="1">
        <f t="shared" si="3"/>
        <v>8.1874999999786979E-4</v>
      </c>
      <c r="H19" s="1">
        <f t="shared" si="4"/>
        <v>8.1874999999786979E-4</v>
      </c>
      <c r="I19" s="18">
        <f t="shared" si="5"/>
        <v>1.5220149253702964E-3</v>
      </c>
    </row>
    <row r="20" spans="1:9" ht="15.75" thickBot="1" x14ac:dyDescent="0.3">
      <c r="A20" s="17"/>
      <c r="B20" s="1">
        <v>4.1168480000000001</v>
      </c>
      <c r="C20" s="1">
        <v>19.817271000000002</v>
      </c>
      <c r="D20" s="1">
        <f t="shared" si="0"/>
        <v>3.9055778606965174E-3</v>
      </c>
      <c r="E20" s="1">
        <f t="shared" si="1"/>
        <v>-3.1933582089527235E-4</v>
      </c>
      <c r="F20" s="2">
        <f t="shared" si="2"/>
        <v>-1.9958488805954522E-3</v>
      </c>
      <c r="G20" s="1">
        <f t="shared" si="3"/>
        <v>-1.6887499999995725E-2</v>
      </c>
      <c r="H20" s="1">
        <f t="shared" si="4"/>
        <v>1.6887499999995725E-2</v>
      </c>
      <c r="I20" s="18">
        <f t="shared" si="5"/>
        <v>1.4891651119400273E-2</v>
      </c>
    </row>
    <row r="21" spans="1:9" ht="15.75" thickBot="1" x14ac:dyDescent="0.3">
      <c r="A21" s="17"/>
      <c r="B21" s="1">
        <v>4.1171490000000004</v>
      </c>
      <c r="C21" s="1">
        <v>19.813445999999999</v>
      </c>
      <c r="D21" s="1">
        <f t="shared" si="0"/>
        <v>3.904551492537313E-3</v>
      </c>
      <c r="E21" s="1">
        <f t="shared" si="1"/>
        <v>1.2455223880714072E-5</v>
      </c>
      <c r="F21" s="2">
        <f t="shared" si="2"/>
        <v>7.7845149254462953E-5</v>
      </c>
      <c r="G21" s="1">
        <f t="shared" si="3"/>
        <v>-4.2675000000014229E-2</v>
      </c>
      <c r="H21" s="1">
        <f t="shared" si="4"/>
        <v>4.2675000000014229E-2</v>
      </c>
      <c r="I21" s="18">
        <f t="shared" si="5"/>
        <v>4.2752845149268692E-2</v>
      </c>
    </row>
    <row r="22" spans="1:9" ht="15.75" thickBot="1" x14ac:dyDescent="0.3">
      <c r="A22" s="17"/>
      <c r="B22" s="1">
        <v>4.12012</v>
      </c>
      <c r="C22" s="1">
        <v>19.827625000000001</v>
      </c>
      <c r="D22" s="1">
        <f t="shared" si="0"/>
        <v>3.907339552238806E-3</v>
      </c>
      <c r="E22" s="1">
        <f t="shared" si="1"/>
        <v>2.8998134328359626E-3</v>
      </c>
      <c r="F22" s="2">
        <f t="shared" si="2"/>
        <v>1.8123833955224766E-2</v>
      </c>
      <c r="G22" s="1">
        <f t="shared" si="3"/>
        <v>2.7375000000007255E-2</v>
      </c>
      <c r="H22" s="1">
        <f t="shared" si="4"/>
        <v>2.7375000000007255E-2</v>
      </c>
      <c r="I22" s="18">
        <f t="shared" si="5"/>
        <v>4.5498833955232021E-2</v>
      </c>
    </row>
    <row r="23" spans="1:9" ht="15.75" thickBot="1" x14ac:dyDescent="0.3">
      <c r="A23" s="17"/>
      <c r="B23" s="1">
        <v>4.1185349999999996</v>
      </c>
      <c r="C23" s="1">
        <v>19.822451999999998</v>
      </c>
      <c r="D23" s="1">
        <f t="shared" si="0"/>
        <v>3.906447014925373E-3</v>
      </c>
      <c r="E23" s="1">
        <f t="shared" si="1"/>
        <v>1.341589552238176E-3</v>
      </c>
      <c r="F23" s="2">
        <f t="shared" si="2"/>
        <v>8.3849347014886E-3</v>
      </c>
      <c r="G23" s="1">
        <f t="shared" si="3"/>
        <v>4.9499999999924604E-3</v>
      </c>
      <c r="H23" s="1">
        <f t="shared" si="4"/>
        <v>4.9499999999924604E-3</v>
      </c>
      <c r="I23" s="18">
        <f t="shared" si="5"/>
        <v>1.333493470148106E-2</v>
      </c>
    </row>
    <row r="24" spans="1:9" ht="15.75" thickBot="1" x14ac:dyDescent="0.3">
      <c r="A24" s="17"/>
      <c r="B24" s="1">
        <v>4.1193669999999996</v>
      </c>
      <c r="C24" s="1">
        <v>19.82695</v>
      </c>
      <c r="D24" s="1">
        <f t="shared" si="0"/>
        <v>3.9073589552238806E-3</v>
      </c>
      <c r="E24" s="1">
        <f t="shared" si="1"/>
        <v>2.1462313432829561E-3</v>
      </c>
      <c r="F24" s="2">
        <f t="shared" si="2"/>
        <v>1.3413945895518475E-2</v>
      </c>
      <c r="G24" s="1">
        <f t="shared" si="3"/>
        <v>2.7862499999997681E-2</v>
      </c>
      <c r="H24" s="1">
        <f t="shared" si="4"/>
        <v>2.7862499999997681E-2</v>
      </c>
      <c r="I24" s="18">
        <f t="shared" si="5"/>
        <v>4.1276445895516156E-2</v>
      </c>
    </row>
    <row r="25" spans="1:9" ht="15.75" thickBot="1" x14ac:dyDescent="0.3">
      <c r="A25" s="17"/>
      <c r="B25" s="1">
        <v>4.1176649999999997</v>
      </c>
      <c r="C25" s="1">
        <v>19.818657000000002</v>
      </c>
      <c r="D25" s="1">
        <f t="shared" si="0"/>
        <v>3.9057194029850752E-3</v>
      </c>
      <c r="E25" s="1">
        <f t="shared" si="1"/>
        <v>4.9341791044721361E-4</v>
      </c>
      <c r="F25" s="2">
        <f t="shared" si="2"/>
        <v>3.0838619402950851E-3</v>
      </c>
      <c r="G25" s="1">
        <f t="shared" si="3"/>
        <v>-1.3331249999981587E-2</v>
      </c>
      <c r="H25" s="1">
        <f t="shared" si="4"/>
        <v>1.3331249999981587E-2</v>
      </c>
      <c r="I25" s="18">
        <f t="shared" si="5"/>
        <v>1.6415111940276672E-2</v>
      </c>
    </row>
    <row r="26" spans="1:9" ht="15.75" thickBot="1" x14ac:dyDescent="0.3">
      <c r="A26" s="17"/>
      <c r="B26" s="1">
        <v>4.1197179999999998</v>
      </c>
      <c r="C26" s="1">
        <v>19.822626</v>
      </c>
      <c r="D26" s="1">
        <f t="shared" si="0"/>
        <v>3.9061960199004977E-3</v>
      </c>
      <c r="E26" s="1">
        <f t="shared" si="1"/>
        <v>2.5321194029848115E-3</v>
      </c>
      <c r="F26" s="2">
        <f t="shared" si="2"/>
        <v>1.5825746268655072E-2</v>
      </c>
      <c r="G26" s="1">
        <f t="shared" si="3"/>
        <v>-1.3562499999952848E-3</v>
      </c>
      <c r="H26" s="1">
        <f t="shared" si="4"/>
        <v>1.3562499999952848E-3</v>
      </c>
      <c r="I26" s="18">
        <f t="shared" si="5"/>
        <v>1.7181996268650357E-2</v>
      </c>
    </row>
    <row r="27" spans="1:9" ht="15.75" thickBot="1" x14ac:dyDescent="0.3">
      <c r="A27" s="17"/>
      <c r="B27" s="1">
        <v>4.1199579999999996</v>
      </c>
      <c r="C27" s="1">
        <v>19.835713999999999</v>
      </c>
      <c r="D27" s="1">
        <f t="shared" si="0"/>
        <v>3.9093920398009943E-3</v>
      </c>
      <c r="E27" s="1">
        <f t="shared" si="1"/>
        <v>2.6762388059697884E-3</v>
      </c>
      <c r="F27" s="2">
        <f t="shared" si="2"/>
        <v>1.6726492537311177E-2</v>
      </c>
      <c r="G27" s="1">
        <f t="shared" si="3"/>
        <v>7.8943749999993429E-2</v>
      </c>
      <c r="H27" s="1">
        <f t="shared" si="4"/>
        <v>7.8943749999993429E-2</v>
      </c>
      <c r="I27" s="18">
        <f t="shared" si="5"/>
        <v>9.5670242537304606E-2</v>
      </c>
    </row>
    <row r="28" spans="1:9" ht="15.75" thickBot="1" x14ac:dyDescent="0.3">
      <c r="A28" s="17"/>
      <c r="B28" s="1">
        <v>4.1180680000000001</v>
      </c>
      <c r="C28" s="1">
        <v>19.824202</v>
      </c>
      <c r="D28" s="1">
        <f t="shared" si="0"/>
        <v>3.9069985074626865E-3</v>
      </c>
      <c r="E28" s="1">
        <f t="shared" si="1"/>
        <v>8.5804477611972629E-4</v>
      </c>
      <c r="F28" s="2">
        <f t="shared" si="2"/>
        <v>5.3627798507482893E-3</v>
      </c>
      <c r="G28" s="1">
        <f t="shared" si="3"/>
        <v>1.880624999999192E-2</v>
      </c>
      <c r="H28" s="1">
        <f t="shared" si="4"/>
        <v>1.880624999999192E-2</v>
      </c>
      <c r="I28" s="18">
        <f t="shared" si="5"/>
        <v>2.4169029850740209E-2</v>
      </c>
    </row>
    <row r="29" spans="1:9" ht="15.75" thickBot="1" x14ac:dyDescent="0.3">
      <c r="A29" s="17"/>
      <c r="B29" s="1">
        <v>4.1199830000000004</v>
      </c>
      <c r="C29" s="1">
        <v>19.829875999999999</v>
      </c>
      <c r="D29" s="1">
        <f t="shared" si="0"/>
        <v>3.9079335820895516E-3</v>
      </c>
      <c r="E29" s="1">
        <f t="shared" si="1"/>
        <v>2.7449925373135287E-3</v>
      </c>
      <c r="F29" s="2">
        <f t="shared" si="2"/>
        <v>1.7156203358209554E-2</v>
      </c>
      <c r="G29" s="1">
        <f t="shared" si="3"/>
        <v>4.2299999999984017E-2</v>
      </c>
      <c r="H29" s="1">
        <f t="shared" si="4"/>
        <v>4.2299999999984017E-2</v>
      </c>
      <c r="I29" s="18">
        <f t="shared" si="5"/>
        <v>5.9456203358193571E-2</v>
      </c>
    </row>
    <row r="30" spans="1:9" ht="15.75" thickBot="1" x14ac:dyDescent="0.3">
      <c r="A30" s="17"/>
      <c r="B30" s="1">
        <v>4.1186550000000004</v>
      </c>
      <c r="C30" s="1">
        <v>19.828970000000002</v>
      </c>
      <c r="D30" s="1">
        <f t="shared" si="0"/>
        <v>3.9080385572139303E-3</v>
      </c>
      <c r="E30" s="1">
        <f t="shared" si="1"/>
        <v>1.4138432835828496E-3</v>
      </c>
      <c r="F30" s="2">
        <f t="shared" si="2"/>
        <v>8.8365205223928101E-3</v>
      </c>
      <c r="G30" s="1">
        <f t="shared" si="3"/>
        <v>4.4937500000008512E-2</v>
      </c>
      <c r="H30" s="1">
        <f t="shared" si="4"/>
        <v>4.4937500000008512E-2</v>
      </c>
      <c r="I30" s="18">
        <f t="shared" si="5"/>
        <v>5.3774020522401322E-2</v>
      </c>
    </row>
    <row r="31" spans="1:9" ht="15.75" thickBot="1" x14ac:dyDescent="0.3">
      <c r="A31" s="17"/>
      <c r="B31" s="1">
        <v>4.1189869999999997</v>
      </c>
      <c r="C31" s="1">
        <v>19.837909</v>
      </c>
      <c r="D31" s="1">
        <f t="shared" si="0"/>
        <v>3.9101796019900496E-3</v>
      </c>
      <c r="E31" s="1">
        <f t="shared" si="1"/>
        <v>1.6816119402980334E-3</v>
      </c>
      <c r="F31" s="2">
        <f t="shared" si="2"/>
        <v>1.0510074626862709E-2</v>
      </c>
      <c r="G31" s="1">
        <f t="shared" si="3"/>
        <v>9.873124999999483E-2</v>
      </c>
      <c r="H31" s="1">
        <f t="shared" si="4"/>
        <v>9.873124999999483E-2</v>
      </c>
      <c r="I31" s="18">
        <f t="shared" si="5"/>
        <v>0.10924132462685754</v>
      </c>
    </row>
    <row r="32" spans="1:9" ht="15.75" thickBot="1" x14ac:dyDescent="0.3">
      <c r="A32" s="17"/>
      <c r="B32" s="1">
        <v>4.1185600000000004</v>
      </c>
      <c r="C32" s="1">
        <v>19.826841999999999</v>
      </c>
      <c r="D32" s="1">
        <f t="shared" si="0"/>
        <v>3.9075328358208952E-3</v>
      </c>
      <c r="E32" s="1">
        <f t="shared" si="1"/>
        <v>1.3340149253737721E-3</v>
      </c>
      <c r="F32" s="2">
        <f t="shared" si="2"/>
        <v>8.3375932835860755E-3</v>
      </c>
      <c r="G32" s="1">
        <f t="shared" si="3"/>
        <v>3.2231249999992162E-2</v>
      </c>
      <c r="H32" s="1">
        <f t="shared" si="4"/>
        <v>3.2231249999992162E-2</v>
      </c>
      <c r="I32" s="18">
        <f t="shared" si="5"/>
        <v>4.0568843283578238E-2</v>
      </c>
    </row>
    <row r="33" spans="1:9" ht="15.75" thickBot="1" x14ac:dyDescent="0.3">
      <c r="A33" s="17"/>
      <c r="B33" s="1">
        <v>4.1186340000000001</v>
      </c>
      <c r="C33" s="1">
        <v>19.818028000000002</v>
      </c>
      <c r="D33" s="1">
        <f t="shared" si="0"/>
        <v>3.9053218905472642E-3</v>
      </c>
      <c r="E33" s="1">
        <f t="shared" si="1"/>
        <v>1.4743432835819803E-3</v>
      </c>
      <c r="F33" s="2">
        <f t="shared" si="2"/>
        <v>9.2146455223873769E-3</v>
      </c>
      <c r="G33" s="1">
        <f t="shared" si="3"/>
        <v>-2.3318749999989841E-2</v>
      </c>
      <c r="H33" s="1">
        <f t="shared" si="4"/>
        <v>2.3318749999989841E-2</v>
      </c>
      <c r="I33" s="18">
        <f t="shared" si="5"/>
        <v>3.2533395522377218E-2</v>
      </c>
    </row>
    <row r="34" spans="1:9" ht="15.75" thickBot="1" x14ac:dyDescent="0.3">
      <c r="A34" s="17"/>
      <c r="B34" s="1">
        <v>4.1202589999999999</v>
      </c>
      <c r="C34" s="1">
        <v>19.83013</v>
      </c>
      <c r="D34" s="1">
        <f t="shared" si="0"/>
        <v>3.9079281094527366E-3</v>
      </c>
      <c r="E34" s="1">
        <f t="shared" si="1"/>
        <v>3.0211567164180053E-3</v>
      </c>
      <c r="F34" s="2">
        <f t="shared" si="2"/>
        <v>1.8882229477612533E-2</v>
      </c>
      <c r="G34" s="1">
        <f t="shared" si="3"/>
        <v>4.2162499999998104E-2</v>
      </c>
      <c r="H34" s="1">
        <f t="shared" si="4"/>
        <v>4.2162499999998104E-2</v>
      </c>
      <c r="I34" s="18">
        <f t="shared" si="5"/>
        <v>6.1044729477610638E-2</v>
      </c>
    </row>
    <row r="35" spans="1:9" ht="15.75" thickBot="1" x14ac:dyDescent="0.3">
      <c r="A35" s="17"/>
      <c r="B35" s="1">
        <v>4.1186939999999996</v>
      </c>
      <c r="C35" s="1">
        <v>19.825118</v>
      </c>
      <c r="D35" s="1">
        <f t="shared" si="0"/>
        <v>3.9070706467661696E-3</v>
      </c>
      <c r="E35" s="1">
        <f t="shared" si="1"/>
        <v>1.4818805970149285E-3</v>
      </c>
      <c r="F35" s="2">
        <f t="shared" si="2"/>
        <v>9.2617537313433029E-3</v>
      </c>
      <c r="G35" s="1">
        <f t="shared" si="3"/>
        <v>2.0618750000001018E-2</v>
      </c>
      <c r="H35" s="1">
        <f t="shared" si="4"/>
        <v>2.0618750000001018E-2</v>
      </c>
      <c r="I35" s="18">
        <f t="shared" si="5"/>
        <v>2.9880503731344321E-2</v>
      </c>
    </row>
    <row r="36" spans="1:9" ht="15.75" thickBot="1" x14ac:dyDescent="0.3">
      <c r="A36" s="17"/>
      <c r="B36" s="1">
        <v>4.1173590000000004</v>
      </c>
      <c r="C36" s="1">
        <v>19.813030000000001</v>
      </c>
      <c r="D36" s="1">
        <f t="shared" si="0"/>
        <v>3.9043957711442788E-3</v>
      </c>
      <c r="E36" s="1">
        <f t="shared" si="1"/>
        <v>2.2712686567238904E-4</v>
      </c>
      <c r="F36" s="2">
        <f t="shared" si="2"/>
        <v>1.4195429104524315E-3</v>
      </c>
      <c r="G36" s="1">
        <f t="shared" si="3"/>
        <v>-4.6587499999994897E-2</v>
      </c>
      <c r="H36" s="1">
        <f t="shared" si="4"/>
        <v>4.6587499999994897E-2</v>
      </c>
      <c r="I36" s="18">
        <f t="shared" si="5"/>
        <v>4.8007042910447328E-2</v>
      </c>
    </row>
    <row r="37" spans="1:9" ht="15.75" thickBot="1" x14ac:dyDescent="0.3">
      <c r="A37" s="17"/>
      <c r="B37" s="1">
        <v>4.1184900000000004</v>
      </c>
      <c r="C37" s="1">
        <v>19.818891000000001</v>
      </c>
      <c r="D37" s="1">
        <f t="shared" si="0"/>
        <v>3.9055723880597015E-3</v>
      </c>
      <c r="E37" s="1">
        <f t="shared" si="1"/>
        <v>1.3228283582096267E-3</v>
      </c>
      <c r="F37" s="2">
        <f t="shared" si="2"/>
        <v>8.2676772388101671E-3</v>
      </c>
      <c r="G37" s="1">
        <f t="shared" si="3"/>
        <v>-1.7025000000003843E-2</v>
      </c>
      <c r="H37" s="1">
        <f t="shared" si="4"/>
        <v>1.7025000000003843E-2</v>
      </c>
      <c r="I37" s="18">
        <f t="shared" si="5"/>
        <v>2.529267723881401E-2</v>
      </c>
    </row>
    <row r="38" spans="1:9" ht="15.75" thickBot="1" x14ac:dyDescent="0.3">
      <c r="A38" s="17"/>
      <c r="B38" s="1">
        <v>4.1191209999999998</v>
      </c>
      <c r="C38" s="1">
        <v>19.826758999999999</v>
      </c>
      <c r="D38" s="1">
        <f t="shared" si="0"/>
        <v>3.9073726368159204E-3</v>
      </c>
      <c r="E38" s="1">
        <f t="shared" si="1"/>
        <v>1.8998208955220974E-3</v>
      </c>
      <c r="F38" s="2">
        <f t="shared" si="2"/>
        <v>1.1873880597013109E-2</v>
      </c>
      <c r="G38" s="1">
        <f t="shared" si="3"/>
        <v>2.8206249999995769E-2</v>
      </c>
      <c r="H38" s="1">
        <f t="shared" si="4"/>
        <v>2.8206249999995769E-2</v>
      </c>
      <c r="I38" s="18">
        <f t="shared" si="5"/>
        <v>4.0080130597008878E-2</v>
      </c>
    </row>
    <row r="39" spans="1:9" ht="15.75" thickBot="1" x14ac:dyDescent="0.3">
      <c r="A39" s="17"/>
      <c r="B39" s="1">
        <v>4.1191789999999999</v>
      </c>
      <c r="C39" s="1">
        <v>19.821916999999999</v>
      </c>
      <c r="D39" s="1">
        <f t="shared" si="0"/>
        <v>3.9061537313432836E-3</v>
      </c>
      <c r="E39" s="1">
        <f t="shared" si="1"/>
        <v>1.9943880597015351E-3</v>
      </c>
      <c r="F39" s="2">
        <f t="shared" si="2"/>
        <v>1.2464925373134594E-2</v>
      </c>
      <c r="G39" s="1">
        <f t="shared" si="3"/>
        <v>-2.4187499999994699E-3</v>
      </c>
      <c r="H39" s="1">
        <f t="shared" si="4"/>
        <v>2.4187499999994699E-3</v>
      </c>
      <c r="I39" s="18">
        <f t="shared" si="5"/>
        <v>1.4883675373134064E-2</v>
      </c>
    </row>
    <row r="40" spans="1:9" x14ac:dyDescent="0.25">
      <c r="A40" s="17"/>
      <c r="B40" s="1">
        <v>4.1179600000000001</v>
      </c>
      <c r="C40" s="1">
        <v>19.819960999999999</v>
      </c>
      <c r="D40" s="1">
        <f t="shared" si="0"/>
        <v>3.90597039800995E-3</v>
      </c>
      <c r="E40" s="1">
        <f t="shared" si="1"/>
        <v>7.808880597020007E-4</v>
      </c>
      <c r="F40" s="2">
        <f t="shared" si="2"/>
        <v>4.8805503731375044E-3</v>
      </c>
      <c r="G40" s="1">
        <f t="shared" si="3"/>
        <v>-7.025000000004944E-3</v>
      </c>
      <c r="H40" s="1">
        <f t="shared" si="4"/>
        <v>7.025000000004944E-3</v>
      </c>
      <c r="I40" s="18">
        <f t="shared" si="5"/>
        <v>1.1905550373142448E-2</v>
      </c>
    </row>
    <row r="41" spans="1:9" x14ac:dyDescent="0.25">
      <c r="A41" s="7" t="s">
        <v>17</v>
      </c>
      <c r="B41" s="8"/>
      <c r="C41" s="8"/>
      <c r="D41" s="8"/>
      <c r="E41" s="8">
        <f>STDEV(E3:E40)</f>
        <v>1.0947099373745731E-3</v>
      </c>
      <c r="F41" s="8">
        <f>STDEV(F3:F40)</f>
        <v>6.8419371085910799E-3</v>
      </c>
      <c r="G41" s="8">
        <f>STDEV(G3:G40)</f>
        <v>3.2159713456556854E-2</v>
      </c>
      <c r="H41" s="8">
        <f t="shared" si="4"/>
        <v>3.2159713456556854E-2</v>
      </c>
      <c r="I41" s="9"/>
    </row>
    <row r="42" spans="1:9" ht="15.75" thickBot="1" x14ac:dyDescent="0.3">
      <c r="A42" s="4" t="s">
        <v>40</v>
      </c>
      <c r="B42" s="5"/>
      <c r="C42" s="5"/>
      <c r="D42" s="5"/>
      <c r="E42" s="36">
        <f>E41*3</f>
        <v>3.2841298121237192E-3</v>
      </c>
      <c r="F42" s="13">
        <f>F41*3</f>
        <v>2.052581132577324E-2</v>
      </c>
      <c r="G42" s="13">
        <f>G41*3</f>
        <v>9.6479140369670563E-2</v>
      </c>
      <c r="H42" s="5"/>
      <c r="I42" s="14">
        <f>SQRT(E42^2+G42^2)</f>
        <v>9.6535019734257446E-2</v>
      </c>
    </row>
    <row r="43" spans="1:9" x14ac:dyDescent="0.25">
      <c r="A43" t="s">
        <v>4</v>
      </c>
      <c r="B43">
        <f>16/4096</f>
        <v>3.90625E-3</v>
      </c>
    </row>
    <row r="44" spans="1:9" x14ac:dyDescent="0.25">
      <c r="A44" t="s">
        <v>6</v>
      </c>
      <c r="B44">
        <f>4+B43*30</f>
        <v>4.1171875</v>
      </c>
    </row>
    <row r="45" spans="1:9" x14ac:dyDescent="0.25">
      <c r="A45" t="s">
        <v>5</v>
      </c>
      <c r="B45">
        <f>4+B43*4050</f>
        <v>19.8203125</v>
      </c>
    </row>
    <row r="46" spans="1:9" x14ac:dyDescent="0.25">
      <c r="A46" t="s">
        <v>1</v>
      </c>
      <c r="B46">
        <v>30</v>
      </c>
    </row>
    <row r="47" spans="1:9" x14ac:dyDescent="0.25">
      <c r="A47" t="s">
        <v>0</v>
      </c>
      <c r="B47">
        <v>4050</v>
      </c>
    </row>
  </sheetData>
  <mergeCells count="1">
    <mergeCell ref="B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B23" sqref="B23"/>
    </sheetView>
  </sheetViews>
  <sheetFormatPr defaultRowHeight="15" x14ac:dyDescent="0.25"/>
  <cols>
    <col min="1" max="1" width="27.140625" bestFit="1" customWidth="1"/>
    <col min="2" max="2" width="32.28515625" bestFit="1" customWidth="1"/>
    <col min="3" max="3" width="32.7109375" bestFit="1" customWidth="1"/>
    <col min="4" max="4" width="18.42578125" bestFit="1" customWidth="1"/>
    <col min="5" max="5" width="16.28515625" bestFit="1" customWidth="1"/>
    <col min="6" max="6" width="22.140625" bestFit="1" customWidth="1"/>
    <col min="7" max="7" width="16.42578125" bestFit="1" customWidth="1"/>
    <col min="8" max="8" width="20.42578125" bestFit="1" customWidth="1"/>
    <col min="9" max="9" width="12" bestFit="1" customWidth="1"/>
  </cols>
  <sheetData>
    <row r="1" spans="1:9" ht="15.75" thickBot="1" x14ac:dyDescent="0.3">
      <c r="A1" s="20"/>
      <c r="B1" s="39" t="s">
        <v>19</v>
      </c>
      <c r="C1" s="37"/>
      <c r="D1" s="37"/>
      <c r="E1" s="37"/>
      <c r="F1" s="37"/>
      <c r="G1" s="37"/>
      <c r="H1" s="37"/>
      <c r="I1" s="38"/>
    </row>
    <row r="2" spans="1:9" x14ac:dyDescent="0.25">
      <c r="A2" s="17"/>
      <c r="B2" s="8" t="s">
        <v>8</v>
      </c>
      <c r="C2" s="8" t="s">
        <v>9</v>
      </c>
      <c r="D2" s="8" t="s">
        <v>11</v>
      </c>
      <c r="E2" s="8" t="s">
        <v>10</v>
      </c>
      <c r="F2" s="8" t="s">
        <v>12</v>
      </c>
      <c r="G2" s="8" t="s">
        <v>13</v>
      </c>
      <c r="H2" s="8" t="s">
        <v>15</v>
      </c>
      <c r="I2" s="9" t="s">
        <v>16</v>
      </c>
    </row>
    <row r="3" spans="1:9" ht="15.75" thickBot="1" x14ac:dyDescent="0.3">
      <c r="A3" s="19"/>
      <c r="B3" s="5">
        <v>4.1187810000000002</v>
      </c>
      <c r="C3" s="5">
        <v>19.814996000000001</v>
      </c>
      <c r="D3" s="5">
        <f>(C3-B3)/($B$8-$B$7)</f>
        <v>3.9045310945273635E-3</v>
      </c>
      <c r="E3" s="36">
        <f>B3-(D3*$B$7)-4</f>
        <v>1.6450671641790038E-3</v>
      </c>
      <c r="F3" s="13">
        <f>E3/16*100</f>
        <v>1.0281669776118774E-2</v>
      </c>
      <c r="G3" s="13">
        <f>((C3-B3)-($B$6-$B$5))/16*100</f>
        <v>-4.3187499999997048E-2</v>
      </c>
      <c r="H3" s="5">
        <f>ABS(G3)</f>
        <v>4.3187499999997048E-2</v>
      </c>
      <c r="I3" s="6">
        <f>SQRT(H3^2+F3^2+B15^2)</f>
        <v>4.439451478827456E-2</v>
      </c>
    </row>
    <row r="4" spans="1:9" x14ac:dyDescent="0.25">
      <c r="A4" t="s">
        <v>4</v>
      </c>
      <c r="B4">
        <f>16/4096</f>
        <v>3.90625E-3</v>
      </c>
    </row>
    <row r="5" spans="1:9" x14ac:dyDescent="0.25">
      <c r="A5" t="s">
        <v>6</v>
      </c>
      <c r="B5">
        <f>4+B4*30</f>
        <v>4.1171875</v>
      </c>
    </row>
    <row r="6" spans="1:9" x14ac:dyDescent="0.25">
      <c r="A6" t="s">
        <v>5</v>
      </c>
      <c r="B6">
        <f>4+B4*4050</f>
        <v>19.8203125</v>
      </c>
    </row>
    <row r="7" spans="1:9" x14ac:dyDescent="0.25">
      <c r="A7" t="s">
        <v>1</v>
      </c>
      <c r="B7">
        <v>30</v>
      </c>
    </row>
    <row r="8" spans="1:9" x14ac:dyDescent="0.25">
      <c r="A8" t="s">
        <v>0</v>
      </c>
      <c r="B8">
        <v>4050</v>
      </c>
    </row>
    <row r="11" spans="1:9" ht="15.75" thickBot="1" x14ac:dyDescent="0.3"/>
    <row r="12" spans="1:9" x14ac:dyDescent="0.25">
      <c r="A12" s="16" t="s">
        <v>55</v>
      </c>
      <c r="B12" s="3">
        <f>(((3.001915/4096)*0.3)/30542)</f>
        <v>7.1988350890269951E-9</v>
      </c>
    </row>
    <row r="13" spans="1:9" x14ac:dyDescent="0.25">
      <c r="A13" s="17" t="s">
        <v>21</v>
      </c>
      <c r="B13" s="18">
        <f>1+(4320/26.7)</f>
        <v>162.79775280898878</v>
      </c>
    </row>
    <row r="14" spans="1:9" x14ac:dyDescent="0.25">
      <c r="A14" s="17" t="s">
        <v>56</v>
      </c>
      <c r="B14" s="18">
        <f>B12*B13</f>
        <v>1.1719541753360915E-6</v>
      </c>
      <c r="C14">
        <v>3.9065099999999996E-6</v>
      </c>
    </row>
    <row r="15" spans="1:9" ht="15.75" thickBot="1" x14ac:dyDescent="0.3">
      <c r="A15" s="19" t="s">
        <v>20</v>
      </c>
      <c r="B15" s="14">
        <f>B14/16*100</f>
        <v>7.3247135958505717E-6</v>
      </c>
      <c r="C15">
        <v>2.4415700000000001E-5</v>
      </c>
    </row>
    <row r="17" spans="2:2" x14ac:dyDescent="0.25">
      <c r="B17">
        <f>B14*4096</f>
        <v>4.8003243021766309E-3</v>
      </c>
    </row>
  </sheetData>
  <mergeCells count="1">
    <mergeCell ref="B1: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C13" workbookViewId="0">
      <selection activeCell="G48" sqref="G48"/>
    </sheetView>
  </sheetViews>
  <sheetFormatPr defaultRowHeight="15" x14ac:dyDescent="0.25"/>
  <cols>
    <col min="1" max="1" width="23.140625" bestFit="1" customWidth="1"/>
    <col min="2" max="2" width="32.28515625" bestFit="1" customWidth="1"/>
    <col min="3" max="3" width="32.7109375" bestFit="1" customWidth="1"/>
    <col min="4" max="4" width="32.7109375" customWidth="1"/>
    <col min="5" max="5" width="18.42578125" bestFit="1" customWidth="1"/>
    <col min="6" max="6" width="18.140625" bestFit="1" customWidth="1"/>
    <col min="7" max="7" width="22.140625" bestFit="1" customWidth="1"/>
    <col min="8" max="8" width="16.42578125" bestFit="1" customWidth="1"/>
    <col min="9" max="9" width="20.42578125" bestFit="1" customWidth="1"/>
    <col min="10" max="10" width="12" bestFit="1" customWidth="1"/>
  </cols>
  <sheetData>
    <row r="1" spans="1:10" ht="15.75" thickBot="1" x14ac:dyDescent="0.3">
      <c r="A1" s="40" t="s">
        <v>37</v>
      </c>
      <c r="B1" s="41"/>
      <c r="C1" s="42"/>
      <c r="D1" s="23"/>
      <c r="E1" s="23"/>
      <c r="F1" s="23"/>
      <c r="G1" s="23"/>
      <c r="H1" s="23"/>
      <c r="I1" s="23"/>
      <c r="J1" s="23"/>
    </row>
    <row r="2" spans="1:10" ht="15.75" thickBot="1" x14ac:dyDescent="0.3">
      <c r="A2" s="28"/>
      <c r="B2" s="29" t="s">
        <v>35</v>
      </c>
      <c r="C2" s="30" t="s">
        <v>36</v>
      </c>
      <c r="D2" s="22"/>
      <c r="E2" s="22"/>
      <c r="F2" s="22"/>
      <c r="G2" s="22"/>
      <c r="H2" s="22"/>
      <c r="I2" s="22"/>
      <c r="J2" s="22"/>
    </row>
    <row r="3" spans="1:10" x14ac:dyDescent="0.25">
      <c r="A3" s="31"/>
      <c r="B3" s="33">
        <v>3.0019459999999998</v>
      </c>
      <c r="C3" s="32">
        <f>B3-3.001915</f>
        <v>3.0999999999892225E-5</v>
      </c>
      <c r="D3" s="22"/>
      <c r="E3" s="22"/>
      <c r="F3" s="22"/>
      <c r="G3" s="22"/>
      <c r="H3" s="22"/>
      <c r="I3" s="22"/>
      <c r="J3" s="22"/>
    </row>
    <row r="4" spans="1:10" x14ac:dyDescent="0.25">
      <c r="A4" s="26"/>
      <c r="B4" s="22">
        <v>3.001744</v>
      </c>
      <c r="C4" s="27">
        <f t="shared" ref="C4:C24" si="0">B4-3.001915</f>
        <v>-1.7099999999992122E-4</v>
      </c>
      <c r="D4" s="22"/>
      <c r="E4" s="22"/>
      <c r="F4" s="22"/>
      <c r="G4" s="22"/>
      <c r="H4" s="22"/>
      <c r="I4" s="22"/>
      <c r="J4" s="22"/>
    </row>
    <row r="5" spans="1:10" x14ac:dyDescent="0.25">
      <c r="A5" s="26"/>
      <c r="B5" s="22">
        <v>3.0017960000000001</v>
      </c>
      <c r="C5" s="27">
        <f t="shared" si="0"/>
        <v>-1.1899999999975819E-4</v>
      </c>
      <c r="D5" s="22"/>
      <c r="E5" s="22"/>
      <c r="F5" s="22"/>
      <c r="G5" s="22"/>
      <c r="H5" s="22"/>
      <c r="I5" s="22"/>
      <c r="J5" s="22"/>
    </row>
    <row r="6" spans="1:10" x14ac:dyDescent="0.25">
      <c r="A6" s="26"/>
      <c r="B6" s="22">
        <v>3.0018400000000001</v>
      </c>
      <c r="C6" s="27">
        <f t="shared" si="0"/>
        <v>-7.4999999999825206E-5</v>
      </c>
      <c r="D6" s="22"/>
      <c r="E6" s="22"/>
      <c r="F6" s="22"/>
      <c r="G6" s="22"/>
      <c r="H6" s="22"/>
      <c r="I6" s="22"/>
      <c r="J6" s="22"/>
    </row>
    <row r="7" spans="1:10" x14ac:dyDescent="0.25">
      <c r="A7" s="26"/>
      <c r="B7" s="22">
        <v>3.002157</v>
      </c>
      <c r="C7" s="27">
        <f t="shared" si="0"/>
        <v>2.4200000000007549E-4</v>
      </c>
      <c r="D7" s="22"/>
      <c r="E7" s="22"/>
      <c r="F7" s="22"/>
      <c r="G7" s="22"/>
      <c r="H7" s="22"/>
      <c r="I7" s="22"/>
      <c r="J7" s="22"/>
    </row>
    <row r="8" spans="1:10" x14ac:dyDescent="0.25">
      <c r="A8" s="26"/>
      <c r="B8" s="22">
        <v>3.0019610000000001</v>
      </c>
      <c r="C8" s="27">
        <f t="shared" si="0"/>
        <v>4.6000000000212538E-5</v>
      </c>
      <c r="D8" s="22"/>
      <c r="E8" s="22"/>
      <c r="F8" s="22"/>
      <c r="G8" s="22"/>
      <c r="H8" s="22"/>
      <c r="I8" s="22"/>
      <c r="J8" s="22"/>
    </row>
    <row r="9" spans="1:10" x14ac:dyDescent="0.25">
      <c r="A9" s="26"/>
      <c r="B9" s="22">
        <v>3.0019269999999998</v>
      </c>
      <c r="C9" s="27">
        <f t="shared" si="0"/>
        <v>1.1999999999900979E-5</v>
      </c>
      <c r="D9" s="22"/>
      <c r="E9" s="22"/>
      <c r="F9" s="22"/>
      <c r="G9" s="22"/>
      <c r="H9" s="22"/>
      <c r="I9" s="22"/>
      <c r="J9" s="22"/>
    </row>
    <row r="10" spans="1:10" x14ac:dyDescent="0.25">
      <c r="A10" s="26"/>
      <c r="B10" s="22">
        <v>3.0019269999999998</v>
      </c>
      <c r="C10" s="27">
        <f t="shared" si="0"/>
        <v>1.1999999999900979E-5</v>
      </c>
      <c r="D10" s="22"/>
      <c r="E10" s="22"/>
      <c r="F10" s="22"/>
      <c r="G10" s="22"/>
      <c r="H10" s="22"/>
      <c r="I10" s="22"/>
      <c r="J10" s="22"/>
    </row>
    <row r="11" spans="1:10" x14ac:dyDescent="0.25">
      <c r="A11" s="26"/>
      <c r="B11" s="22">
        <v>3.0019969999999998</v>
      </c>
      <c r="C11" s="27">
        <f t="shared" si="0"/>
        <v>8.1999999999915474E-5</v>
      </c>
      <c r="D11" s="22"/>
      <c r="E11" s="22"/>
      <c r="F11" s="22"/>
      <c r="G11" s="22"/>
      <c r="H11" s="22"/>
      <c r="I11" s="22"/>
      <c r="J11" s="22"/>
    </row>
    <row r="12" spans="1:10" x14ac:dyDescent="0.25">
      <c r="A12" s="26"/>
      <c r="B12" s="22">
        <v>3.001951</v>
      </c>
      <c r="C12" s="27">
        <f t="shared" si="0"/>
        <v>3.6000000000147026E-5</v>
      </c>
      <c r="D12" s="22"/>
      <c r="E12" s="22"/>
      <c r="F12" s="22"/>
      <c r="G12" s="22"/>
      <c r="H12" s="22"/>
      <c r="I12" s="22"/>
      <c r="J12" s="22"/>
    </row>
    <row r="13" spans="1:10" x14ac:dyDescent="0.25">
      <c r="A13" s="26"/>
      <c r="B13" s="22">
        <v>3.0019279999999999</v>
      </c>
      <c r="C13" s="27">
        <f t="shared" si="0"/>
        <v>1.3000000000040757E-5</v>
      </c>
      <c r="D13" s="22"/>
      <c r="E13" s="22"/>
      <c r="F13" s="22"/>
      <c r="G13" s="22"/>
      <c r="H13" s="22"/>
      <c r="I13" s="22"/>
      <c r="J13" s="22"/>
    </row>
    <row r="14" spans="1:10" x14ac:dyDescent="0.25">
      <c r="A14" s="26"/>
      <c r="B14" s="22">
        <v>3.001649</v>
      </c>
      <c r="C14" s="27">
        <f t="shared" si="0"/>
        <v>-2.6599999999987745E-4</v>
      </c>
      <c r="D14" s="22"/>
      <c r="E14" s="22"/>
      <c r="F14" s="22"/>
      <c r="G14" s="22"/>
      <c r="H14" s="22"/>
      <c r="I14" s="22"/>
      <c r="J14" s="22"/>
    </row>
    <row r="15" spans="1:10" x14ac:dyDescent="0.25">
      <c r="A15" s="26"/>
      <c r="B15" s="22">
        <v>3.0017469999999999</v>
      </c>
      <c r="C15" s="27">
        <f t="shared" si="0"/>
        <v>-1.6799999999994597E-4</v>
      </c>
      <c r="D15" s="22"/>
      <c r="E15" s="22"/>
      <c r="F15" s="22"/>
      <c r="G15" s="22"/>
      <c r="H15" s="22"/>
      <c r="I15" s="22"/>
      <c r="J15" s="22"/>
    </row>
    <row r="16" spans="1:10" x14ac:dyDescent="0.25">
      <c r="A16" s="26"/>
      <c r="B16" s="22">
        <v>3.001652</v>
      </c>
      <c r="C16" s="27">
        <f t="shared" si="0"/>
        <v>-2.629999999999022E-4</v>
      </c>
      <c r="D16" s="22"/>
      <c r="E16" s="22"/>
      <c r="F16" s="22"/>
      <c r="G16" s="22"/>
      <c r="H16" s="22"/>
      <c r="I16" s="22"/>
      <c r="J16" s="22"/>
    </row>
    <row r="17" spans="1:10" x14ac:dyDescent="0.25">
      <c r="A17" s="26"/>
      <c r="B17" s="22">
        <v>3.0016759999999998</v>
      </c>
      <c r="C17" s="27">
        <f t="shared" si="0"/>
        <v>-2.3900000000010024E-4</v>
      </c>
      <c r="D17" s="22"/>
      <c r="E17" s="22"/>
      <c r="F17" s="22"/>
      <c r="G17" s="22"/>
      <c r="H17" s="22"/>
      <c r="I17" s="22"/>
      <c r="J17" s="22"/>
    </row>
    <row r="18" spans="1:10" x14ac:dyDescent="0.25">
      <c r="A18" s="26"/>
      <c r="B18" s="22">
        <v>3.0018340000000001</v>
      </c>
      <c r="C18" s="27">
        <f t="shared" si="0"/>
        <v>-8.0999999999775696E-5</v>
      </c>
      <c r="D18" s="22"/>
      <c r="E18" s="22"/>
      <c r="F18" s="22"/>
      <c r="G18" s="22"/>
      <c r="H18" s="22"/>
      <c r="I18" s="22"/>
      <c r="J18" s="22"/>
    </row>
    <row r="19" spans="1:10" x14ac:dyDescent="0.25">
      <c r="A19" s="26"/>
      <c r="B19" s="22">
        <v>3.0018379999999998</v>
      </c>
      <c r="C19" s="27">
        <f t="shared" si="0"/>
        <v>-7.7000000000104762E-5</v>
      </c>
      <c r="D19" s="22"/>
      <c r="E19" s="22"/>
      <c r="F19" s="22"/>
      <c r="G19" s="22"/>
      <c r="H19" s="22"/>
      <c r="I19" s="22"/>
      <c r="J19" s="22"/>
    </row>
    <row r="20" spans="1:10" x14ac:dyDescent="0.25">
      <c r="A20" s="26"/>
      <c r="B20" s="22">
        <v>3.0020150000000001</v>
      </c>
      <c r="C20" s="27">
        <f t="shared" si="0"/>
        <v>1.0000000000021103E-4</v>
      </c>
      <c r="D20" s="22"/>
      <c r="E20" s="22"/>
      <c r="F20" s="22"/>
      <c r="G20" s="22"/>
      <c r="H20" s="22"/>
      <c r="I20" s="22"/>
      <c r="J20" s="22"/>
    </row>
    <row r="21" spans="1:10" x14ac:dyDescent="0.25">
      <c r="A21" s="26"/>
      <c r="B21" s="22">
        <v>3.0020980000000002</v>
      </c>
      <c r="C21" s="27">
        <f t="shared" si="0"/>
        <v>1.8300000000026628E-4</v>
      </c>
      <c r="D21" s="22"/>
      <c r="E21" s="22"/>
      <c r="F21" s="22"/>
      <c r="G21" s="22"/>
      <c r="H21" s="22"/>
      <c r="I21" s="22"/>
      <c r="J21" s="22"/>
    </row>
    <row r="22" spans="1:10" x14ac:dyDescent="0.25">
      <c r="A22" s="26"/>
      <c r="B22" s="22">
        <v>3.0020319999999998</v>
      </c>
      <c r="C22" s="27">
        <f t="shared" si="0"/>
        <v>1.1699999999992272E-4</v>
      </c>
      <c r="D22" s="22"/>
      <c r="E22" s="22"/>
      <c r="F22" s="22"/>
      <c r="G22" s="22"/>
      <c r="H22" s="22"/>
      <c r="I22" s="22"/>
      <c r="J22" s="22"/>
    </row>
    <row r="23" spans="1:10" x14ac:dyDescent="0.25">
      <c r="A23" s="26"/>
      <c r="B23" s="22">
        <v>3.0021140000000002</v>
      </c>
      <c r="C23" s="27">
        <f t="shared" si="0"/>
        <v>1.9900000000028228E-4</v>
      </c>
      <c r="D23" s="22"/>
      <c r="E23" s="22"/>
      <c r="F23" s="22"/>
      <c r="G23" s="22"/>
      <c r="H23" s="22"/>
      <c r="I23" s="22"/>
      <c r="J23" s="22"/>
    </row>
    <row r="24" spans="1:10" x14ac:dyDescent="0.25">
      <c r="A24" s="26"/>
      <c r="B24" s="22">
        <v>3.0019800000000001</v>
      </c>
      <c r="C24" s="27">
        <f t="shared" si="0"/>
        <v>6.5000000000203784E-5</v>
      </c>
      <c r="D24" s="22"/>
      <c r="E24" s="22"/>
      <c r="F24" s="22"/>
      <c r="G24" s="22"/>
      <c r="H24" s="22"/>
      <c r="I24" s="22"/>
      <c r="J24" s="22"/>
    </row>
    <row r="25" spans="1:10" x14ac:dyDescent="0.25">
      <c r="A25" s="26" t="s">
        <v>38</v>
      </c>
      <c r="B25" s="22"/>
      <c r="C25" s="27">
        <f>STDEV(C3:C24)</f>
        <v>1.4690867233987416E-4</v>
      </c>
      <c r="D25" s="22"/>
      <c r="E25" s="22"/>
      <c r="F25" s="22"/>
      <c r="G25" s="22"/>
      <c r="H25" s="22"/>
      <c r="I25" s="22"/>
      <c r="J25" s="22"/>
    </row>
    <row r="26" spans="1:10" x14ac:dyDescent="0.25">
      <c r="A26" s="26" t="s">
        <v>39</v>
      </c>
      <c r="B26" s="22"/>
      <c r="C26" s="27">
        <f>C25*3</f>
        <v>4.4072601701962248E-4</v>
      </c>
      <c r="D26" s="22"/>
      <c r="E26" s="22"/>
      <c r="F26" s="22"/>
      <c r="G26" s="22"/>
      <c r="H26" s="22"/>
      <c r="I26" s="22"/>
      <c r="J26" s="22"/>
    </row>
    <row r="27" spans="1:10" ht="15.75" thickBot="1" x14ac:dyDescent="0.3">
      <c r="A27" s="28" t="s">
        <v>41</v>
      </c>
      <c r="B27" s="29"/>
      <c r="C27" s="30">
        <f>C26/3.001915*100</f>
        <v>1.4681495545997222E-2</v>
      </c>
      <c r="D27" s="22"/>
      <c r="E27" s="22"/>
      <c r="F27" s="22"/>
      <c r="G27" s="22"/>
      <c r="H27" s="22"/>
      <c r="I27" s="22"/>
      <c r="J27" s="22"/>
    </row>
    <row r="28" spans="1:10" ht="15.75" thickBot="1" x14ac:dyDescent="0.3">
      <c r="A28" s="22"/>
      <c r="B28" s="22"/>
      <c r="C28" s="22"/>
      <c r="D28" s="22"/>
      <c r="E28" s="22"/>
      <c r="F28" s="22"/>
      <c r="G28" s="22"/>
      <c r="H28" s="22"/>
      <c r="I28" s="22"/>
      <c r="J28" s="22"/>
    </row>
    <row r="29" spans="1:10" x14ac:dyDescent="0.25">
      <c r="A29" s="31" t="s">
        <v>43</v>
      </c>
      <c r="B29" s="34">
        <v>0.5</v>
      </c>
      <c r="C29" s="32"/>
      <c r="D29" s="24"/>
      <c r="E29" s="22"/>
      <c r="F29" s="22"/>
      <c r="G29" s="22"/>
      <c r="H29" s="22"/>
      <c r="I29" s="22"/>
      <c r="J29" s="22"/>
    </row>
    <row r="30" spans="1:10" ht="15.75" thickBot="1" x14ac:dyDescent="0.3">
      <c r="A30" s="28" t="s">
        <v>44</v>
      </c>
      <c r="B30" s="29">
        <v>3.0019149999999999</v>
      </c>
      <c r="C30" s="30"/>
      <c r="D30" s="22"/>
      <c r="E30" s="22"/>
      <c r="F30" s="22"/>
      <c r="G30" s="22"/>
      <c r="H30" s="22"/>
      <c r="I30" s="22"/>
      <c r="J30" s="22"/>
    </row>
    <row r="31" spans="1:10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</row>
    <row r="32" spans="1:10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</row>
    <row r="33" spans="1:10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</row>
    <row r="34" spans="1:10" ht="15.75" thickBot="1" x14ac:dyDescent="0.3">
      <c r="A34" s="22"/>
      <c r="B34" s="22"/>
      <c r="C34" s="22"/>
      <c r="D34" s="22"/>
      <c r="E34" s="22"/>
      <c r="F34" s="22"/>
      <c r="G34" s="22"/>
      <c r="H34" s="22"/>
      <c r="I34" s="22"/>
      <c r="J34" s="22"/>
    </row>
    <row r="35" spans="1:10" x14ac:dyDescent="0.25">
      <c r="A35" s="31" t="s">
        <v>42</v>
      </c>
      <c r="B35" s="33"/>
      <c r="C35" s="32">
        <f>SQRT(B29^2+C27^2)</f>
        <v>0.50021549987127267</v>
      </c>
      <c r="D35" s="22"/>
      <c r="E35" s="22"/>
      <c r="F35" s="22"/>
      <c r="G35" s="22"/>
      <c r="H35" s="22"/>
      <c r="I35" s="22"/>
      <c r="J35" s="22"/>
    </row>
    <row r="36" spans="1:10" x14ac:dyDescent="0.25">
      <c r="A36" s="26" t="s">
        <v>22</v>
      </c>
      <c r="B36" s="22"/>
      <c r="C36" s="27">
        <f>3.001915*(C35/100)</f>
        <v>1.5016044122960715E-2</v>
      </c>
      <c r="D36" s="22"/>
      <c r="E36" s="22"/>
      <c r="F36" s="22"/>
      <c r="G36" s="22"/>
      <c r="H36" s="22"/>
      <c r="I36" s="22"/>
      <c r="J36" s="22"/>
    </row>
    <row r="37" spans="1:10" x14ac:dyDescent="0.25">
      <c r="A37" s="26" t="s">
        <v>23</v>
      </c>
      <c r="B37" s="22"/>
      <c r="C37" s="27">
        <f>B30+C36</f>
        <v>3.0169310441229604</v>
      </c>
      <c r="D37" s="22"/>
      <c r="E37" s="22"/>
      <c r="F37" s="22"/>
      <c r="G37" s="22"/>
      <c r="H37" s="22"/>
      <c r="I37" s="22"/>
      <c r="J37" s="22"/>
    </row>
    <row r="38" spans="1:10" ht="15.75" thickBot="1" x14ac:dyDescent="0.3">
      <c r="A38" s="28" t="s">
        <v>24</v>
      </c>
      <c r="B38" s="29"/>
      <c r="C38" s="30">
        <f>B30-C36</f>
        <v>2.9868989558770394</v>
      </c>
      <c r="D38" s="22"/>
      <c r="E38" s="22"/>
      <c r="F38" s="22"/>
      <c r="G38" s="22"/>
      <c r="H38" s="22"/>
      <c r="I38" s="22"/>
      <c r="J38" s="22"/>
    </row>
    <row r="39" spans="1:10" x14ac:dyDescent="0.25">
      <c r="B39" s="22"/>
      <c r="C39" s="22"/>
      <c r="D39" s="22"/>
      <c r="E39" s="22"/>
      <c r="F39" s="22"/>
      <c r="G39" s="22"/>
      <c r="H39" s="22"/>
      <c r="I39" s="22"/>
      <c r="J39" s="22"/>
    </row>
    <row r="40" spans="1:10" x14ac:dyDescent="0.25">
      <c r="A40" s="22"/>
      <c r="B40" s="22" t="s">
        <v>25</v>
      </c>
      <c r="C40" s="22" t="s">
        <v>26</v>
      </c>
      <c r="D40" s="22" t="s">
        <v>7</v>
      </c>
      <c r="E40" s="22" t="s">
        <v>33</v>
      </c>
      <c r="F40" s="22" t="s">
        <v>12</v>
      </c>
      <c r="G40" s="22" t="s">
        <v>13</v>
      </c>
      <c r="H40" s="22" t="s">
        <v>34</v>
      </c>
      <c r="I40" s="22"/>
      <c r="J40" s="22"/>
    </row>
    <row r="41" spans="1:10" x14ac:dyDescent="0.25">
      <c r="A41" s="22" t="s">
        <v>31</v>
      </c>
      <c r="B41" s="22">
        <v>4.1386580000000004</v>
      </c>
      <c r="C41" s="22">
        <v>19.921399000000001</v>
      </c>
      <c r="D41" s="22">
        <f>(C41-B41)/($B$55-$B$54)</f>
        <v>3.9260549751243788E-3</v>
      </c>
      <c r="E41" s="22">
        <f>B41-D41*$B$54-4</f>
        <v>2.0876350746268812E-2</v>
      </c>
      <c r="F41" s="22">
        <f>E41/16*100</f>
        <v>0.13047719216418008</v>
      </c>
      <c r="G41" s="22">
        <f>((C41-B41)-($B$52-$B$51))/16*100</f>
        <v>0.49760000000000915</v>
      </c>
      <c r="H41" s="22">
        <f>G41+F41</f>
        <v>0.62807719216418922</v>
      </c>
      <c r="I41" s="22"/>
      <c r="J41" s="22"/>
    </row>
    <row r="42" spans="1:10" x14ac:dyDescent="0.25">
      <c r="A42" s="22" t="s">
        <v>32</v>
      </c>
      <c r="B42" s="22">
        <v>4.0974599999999999</v>
      </c>
      <c r="C42" s="22">
        <v>19.723091</v>
      </c>
      <c r="D42" s="22">
        <f>(C42-B42)/($B$55-$B$54)</f>
        <v>3.8869728855721393E-3</v>
      </c>
      <c r="E42" s="22">
        <f>B42-D42*$B$54-4</f>
        <v>-1.9149186567164467E-2</v>
      </c>
      <c r="F42" s="22">
        <f>E42/16*100</f>
        <v>-0.11968241604477792</v>
      </c>
      <c r="G42" s="22">
        <f>((C42-B42)-($B$52-$B$51))/16*100</f>
        <v>-0.48433749999999831</v>
      </c>
      <c r="H42" s="22">
        <f>G42+F42</f>
        <v>-0.60401991604477623</v>
      </c>
      <c r="I42" s="22"/>
      <c r="J42" s="22"/>
    </row>
    <row r="43" spans="1:10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</row>
    <row r="44" spans="1:10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</row>
    <row r="45" spans="1:10" x14ac:dyDescent="0.25">
      <c r="A45" s="25"/>
      <c r="B45" s="22"/>
      <c r="C45" s="22"/>
      <c r="D45" s="22"/>
      <c r="E45" s="22"/>
      <c r="F45" s="22"/>
      <c r="G45" s="22"/>
      <c r="H45" s="22"/>
      <c r="I45" s="22"/>
      <c r="J45" s="22"/>
    </row>
    <row r="46" spans="1:10" x14ac:dyDescent="0.25">
      <c r="A46" s="25" t="s">
        <v>27</v>
      </c>
      <c r="B46" s="22">
        <f>C37/4096*30</f>
        <v>2.2096662920822463E-2</v>
      </c>
      <c r="C46" s="22"/>
      <c r="D46" s="22"/>
      <c r="E46" s="22"/>
      <c r="F46" s="22"/>
      <c r="G46" s="22"/>
      <c r="H46" s="22"/>
      <c r="I46" s="22"/>
      <c r="J46" s="22"/>
    </row>
    <row r="47" spans="1:10" x14ac:dyDescent="0.25">
      <c r="A47" s="25" t="s">
        <v>28</v>
      </c>
      <c r="B47" s="22">
        <f>C37/4096*4050</f>
        <v>2.9830494943110328</v>
      </c>
      <c r="C47" s="22"/>
      <c r="D47" s="22"/>
      <c r="E47" s="22"/>
      <c r="F47" s="22"/>
      <c r="G47" s="22"/>
      <c r="H47" s="22"/>
      <c r="I47" s="22"/>
      <c r="J47" s="22"/>
    </row>
    <row r="48" spans="1:10" x14ac:dyDescent="0.25">
      <c r="A48" s="25" t="s">
        <v>29</v>
      </c>
      <c r="B48" s="22">
        <f>C38/4096*30</f>
        <v>2.1876701336990035E-2</v>
      </c>
      <c r="C48" s="22"/>
      <c r="D48" s="22"/>
      <c r="E48" s="22"/>
      <c r="F48" s="22"/>
      <c r="G48" s="22"/>
      <c r="H48" s="22"/>
      <c r="I48" s="22"/>
      <c r="J48" s="22"/>
    </row>
    <row r="49" spans="1:10" x14ac:dyDescent="0.25">
      <c r="A49" s="25" t="s">
        <v>30</v>
      </c>
      <c r="B49" s="22">
        <f>C38/4096*4050</f>
        <v>2.9533546804936548</v>
      </c>
      <c r="C49" s="22"/>
      <c r="D49" s="22"/>
      <c r="E49" s="22"/>
      <c r="F49" s="22"/>
      <c r="G49" s="22"/>
      <c r="H49" s="22"/>
      <c r="I49" s="22"/>
      <c r="J49" s="22"/>
    </row>
    <row r="50" spans="1:10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</row>
    <row r="51" spans="1:10" x14ac:dyDescent="0.25">
      <c r="A51" s="15" t="s">
        <v>6</v>
      </c>
      <c r="B51" s="15">
        <f>4+$B$57*30</f>
        <v>4.1171875</v>
      </c>
      <c r="C51" s="22"/>
      <c r="D51" s="22"/>
      <c r="E51" s="22"/>
      <c r="F51" s="22"/>
      <c r="G51" s="22"/>
      <c r="H51" s="22"/>
      <c r="I51" s="22"/>
      <c r="J51" s="22"/>
    </row>
    <row r="52" spans="1:10" x14ac:dyDescent="0.25">
      <c r="A52" s="15" t="s">
        <v>5</v>
      </c>
      <c r="B52" s="15">
        <f>4+$B$57*4050</f>
        <v>19.8203125</v>
      </c>
      <c r="C52" s="15"/>
      <c r="D52" s="15"/>
      <c r="E52" s="15"/>
      <c r="F52" s="15"/>
      <c r="G52" s="15"/>
      <c r="H52" s="15"/>
    </row>
    <row r="53" spans="1:10" x14ac:dyDescent="0.25">
      <c r="A53" s="15"/>
      <c r="B53" s="15"/>
      <c r="C53" s="15"/>
      <c r="D53" s="15"/>
      <c r="E53" s="15"/>
      <c r="F53" s="15"/>
      <c r="G53" s="15"/>
      <c r="H53" s="15"/>
    </row>
    <row r="54" spans="1:10" x14ac:dyDescent="0.25">
      <c r="A54" s="22" t="s">
        <v>1</v>
      </c>
      <c r="B54" s="15">
        <v>30</v>
      </c>
      <c r="C54" s="15"/>
      <c r="D54" s="15"/>
      <c r="E54" s="15"/>
      <c r="F54" s="15"/>
      <c r="G54" s="15"/>
      <c r="H54" s="15"/>
    </row>
    <row r="55" spans="1:10" x14ac:dyDescent="0.25">
      <c r="A55" s="22" t="s">
        <v>0</v>
      </c>
      <c r="B55" s="15">
        <v>4050</v>
      </c>
      <c r="C55" s="15"/>
      <c r="D55" s="15"/>
      <c r="E55" s="15"/>
      <c r="F55" s="15"/>
      <c r="G55" s="15"/>
      <c r="H55" s="15"/>
    </row>
    <row r="56" spans="1:10" x14ac:dyDescent="0.25">
      <c r="A56" s="15"/>
      <c r="B56" s="15"/>
      <c r="C56" s="15"/>
      <c r="D56" s="15"/>
      <c r="E56" s="15"/>
      <c r="F56" s="15"/>
      <c r="G56" s="15"/>
      <c r="H56" s="15"/>
    </row>
    <row r="57" spans="1:10" x14ac:dyDescent="0.25">
      <c r="A57" s="15" t="s">
        <v>4</v>
      </c>
      <c r="B57" s="15">
        <f>16/4096</f>
        <v>3.90625E-3</v>
      </c>
      <c r="C57" s="15"/>
      <c r="D57" s="15"/>
      <c r="E57" s="15"/>
      <c r="F57" s="15"/>
      <c r="G57" s="15"/>
      <c r="H57" s="15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7" sqref="E7"/>
    </sheetView>
  </sheetViews>
  <sheetFormatPr defaultRowHeight="15" x14ac:dyDescent="0.25"/>
  <cols>
    <col min="1" max="1" width="15.5703125" bestFit="1" customWidth="1"/>
    <col min="2" max="2" width="11.28515625" bestFit="1" customWidth="1"/>
    <col min="3" max="3" width="9.7109375" bestFit="1" customWidth="1"/>
    <col min="4" max="4" width="13.5703125" bestFit="1" customWidth="1"/>
    <col min="5" max="5" width="9.140625" customWidth="1"/>
    <col min="6" max="6" width="12" bestFit="1" customWidth="1"/>
  </cols>
  <sheetData>
    <row r="1" spans="1:6" x14ac:dyDescent="0.25">
      <c r="B1" t="s">
        <v>2</v>
      </c>
      <c r="C1" t="s">
        <v>3</v>
      </c>
      <c r="D1" t="s">
        <v>45</v>
      </c>
    </row>
    <row r="2" spans="1:6" x14ac:dyDescent="0.25">
      <c r="A2" t="s">
        <v>46</v>
      </c>
      <c r="B2">
        <v>2.0525811000000001E-2</v>
      </c>
      <c r="C2">
        <v>9.6479140000000005E-2</v>
      </c>
      <c r="D2">
        <v>0</v>
      </c>
    </row>
    <row r="3" spans="1:6" x14ac:dyDescent="0.25">
      <c r="A3" t="s">
        <v>47</v>
      </c>
      <c r="B3">
        <v>1.028167E-2</v>
      </c>
      <c r="C3">
        <v>4.3187499999999997E-2</v>
      </c>
      <c r="D3" s="35">
        <v>7.3247100000000002E-6</v>
      </c>
      <c r="F3">
        <v>7.3247100000000002E-6</v>
      </c>
    </row>
    <row r="4" spans="1:6" x14ac:dyDescent="0.25">
      <c r="A4" t="s">
        <v>48</v>
      </c>
      <c r="B4">
        <v>0.13047719199999999</v>
      </c>
      <c r="C4">
        <v>0.49759999999999999</v>
      </c>
      <c r="D4">
        <v>0</v>
      </c>
    </row>
    <row r="5" spans="1:6" x14ac:dyDescent="0.25">
      <c r="A5" t="s">
        <v>49</v>
      </c>
      <c r="B5">
        <f>SQRT(B2^2+B3^2+B4^2)</f>
        <v>0.1324813922307638</v>
      </c>
      <c r="C5">
        <f>SQRT(C2^2+C3^2+C4^2)</f>
        <v>0.50870339551784949</v>
      </c>
      <c r="D5">
        <f>SQRT(D2^2+D3^2+D4^2)</f>
        <v>7.3247100000000002E-6</v>
      </c>
    </row>
    <row r="7" spans="1:6" x14ac:dyDescent="0.25">
      <c r="A7" t="s">
        <v>50</v>
      </c>
      <c r="E7">
        <f>SQRT(B5^2+C5^2+D5^2)</f>
        <v>0.52567144106603558</v>
      </c>
    </row>
    <row r="8" spans="1:6" x14ac:dyDescent="0.25">
      <c r="A8" t="s">
        <v>51</v>
      </c>
      <c r="E8">
        <f>SQRT(B2^2+C2^2+D2^2)</f>
        <v>9.863839704875238E-2</v>
      </c>
    </row>
    <row r="9" spans="1:6" x14ac:dyDescent="0.25">
      <c r="A9" t="s">
        <v>52</v>
      </c>
      <c r="E9">
        <f>SQRT(B3^2+C3^2+D3^2)</f>
        <v>4.4394514840127228E-2</v>
      </c>
    </row>
    <row r="10" spans="1:6" x14ac:dyDescent="0.25">
      <c r="A10" t="s">
        <v>53</v>
      </c>
      <c r="E10">
        <f>SQRT(B4^2+C4^2+D4^2)</f>
        <v>0.5144220617666051</v>
      </c>
    </row>
    <row r="12" spans="1:6" x14ac:dyDescent="0.25">
      <c r="A12" t="s">
        <v>54</v>
      </c>
      <c r="E12">
        <f>SQRT(E8^2+E9^2)</f>
        <v>0.1081684164635759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Analog Front-End Simulation</vt:lpstr>
      <vt:lpstr>DAC Simulation</vt:lpstr>
      <vt:lpstr>Reference Simulation</vt:lpstr>
      <vt:lpstr>TUE Calculations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Duke, Kevin</dc:creator>
  <cp:lastModifiedBy>Duke, Kevin</cp:lastModifiedBy>
  <dcterms:created xsi:type="dcterms:W3CDTF">2014-07-10T19:57:27Z</dcterms:created>
  <dcterms:modified xsi:type="dcterms:W3CDTF">2014-08-27T17:37:59Z</dcterms:modified>
</cp:coreProperties>
</file>